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D910" lockStructure="1"/>
  <bookViews>
    <workbookView xWindow="-120" yWindow="-120" windowWidth="19800" windowHeight="11760"/>
  </bookViews>
  <sheets>
    <sheet name="保険料試算シート" sheetId="3" r:id="rId1"/>
    <sheet name="加入者" sheetId="1" r:id="rId2"/>
    <sheet name="世帯主" sheetId="9" r:id="rId3"/>
    <sheet name="被保険者（1人目）" sheetId="5" r:id="rId4"/>
    <sheet name="被保険者（2人目）" sheetId="6" r:id="rId5"/>
    <sheet name="被保険者（3人目）" sheetId="7" r:id="rId6"/>
  </sheets>
  <definedNames>
    <definedName name="_xlnm.Print_Area" localSheetId="1">加入者!$A$1:$D$37</definedName>
    <definedName name="_xlnm.Print_Area" localSheetId="2">世帯主!$A$1:$D$37</definedName>
    <definedName name="_xlnm.Print_Area" localSheetId="3">'被保険者（1人目）'!$A$1:$D$37</definedName>
    <definedName name="_xlnm.Print_Area" localSheetId="4">'被保険者（2人目）'!$A$1:$D$37</definedName>
    <definedName name="_xlnm.Print_Area" localSheetId="5">'被保険者（3人目）'!$A$1:$D$37</definedName>
    <definedName name="_xlnm.Print_Area" localSheetId="0">保険料試算シート!$A$1:$AD$41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W32" i="3" l="1"/>
  <c r="V32" i="3"/>
  <c r="F36" i="9" l="1"/>
  <c r="C6" i="9"/>
  <c r="N25" i="3"/>
  <c r="E35" i="7" l="1"/>
  <c r="M25" i="7"/>
  <c r="M24" i="7"/>
  <c r="M23" i="7"/>
  <c r="G23" i="7"/>
  <c r="G22" i="7"/>
  <c r="O21" i="7"/>
  <c r="G21" i="7"/>
  <c r="G20" i="7"/>
  <c r="G19" i="7"/>
  <c r="I18" i="7"/>
  <c r="G18" i="7"/>
  <c r="M17" i="7"/>
  <c r="I17" i="7"/>
  <c r="G17" i="7"/>
  <c r="M16" i="7"/>
  <c r="I16" i="7"/>
  <c r="G16" i="7"/>
  <c r="M15" i="7"/>
  <c r="I15" i="7"/>
  <c r="G15" i="7"/>
  <c r="G13" i="7"/>
  <c r="O12" i="7"/>
  <c r="I12" i="7"/>
  <c r="E9" i="7" s="1"/>
  <c r="E26" i="7" s="1"/>
  <c r="G12" i="7"/>
  <c r="R10" i="7"/>
  <c r="S10" i="7" s="1"/>
  <c r="E6" i="7"/>
  <c r="C6" i="7"/>
  <c r="B30" i="7" s="1"/>
  <c r="E31" i="7" s="1"/>
  <c r="E32" i="7" s="1"/>
  <c r="E33" i="7" s="1"/>
  <c r="G3" i="7"/>
  <c r="E35" i="6"/>
  <c r="M25" i="6"/>
  <c r="M24" i="6"/>
  <c r="M23" i="6"/>
  <c r="G23" i="6"/>
  <c r="G22" i="6"/>
  <c r="O21" i="6"/>
  <c r="G21" i="6"/>
  <c r="G20" i="6"/>
  <c r="G19" i="6"/>
  <c r="I18" i="6"/>
  <c r="G18" i="6"/>
  <c r="M17" i="6"/>
  <c r="I17" i="6"/>
  <c r="G17" i="6"/>
  <c r="M16" i="6"/>
  <c r="I16" i="6"/>
  <c r="G16" i="6"/>
  <c r="M15" i="6"/>
  <c r="I15" i="6"/>
  <c r="G15" i="6"/>
  <c r="G13" i="6"/>
  <c r="O12" i="6"/>
  <c r="I12" i="6"/>
  <c r="G12" i="6"/>
  <c r="E9" i="6" s="1"/>
  <c r="E26" i="6" s="1"/>
  <c r="R10" i="6"/>
  <c r="S10" i="6" s="1"/>
  <c r="E6" i="6"/>
  <c r="C6" i="6"/>
  <c r="G3" i="6"/>
  <c r="E35" i="5"/>
  <c r="M25" i="5"/>
  <c r="M24" i="5"/>
  <c r="M23" i="5"/>
  <c r="G23" i="5"/>
  <c r="G22" i="5"/>
  <c r="O21" i="5"/>
  <c r="G21" i="5"/>
  <c r="G20" i="5"/>
  <c r="G19" i="5"/>
  <c r="I18" i="5"/>
  <c r="G18" i="5"/>
  <c r="M17" i="5"/>
  <c r="I17" i="5"/>
  <c r="G17" i="5"/>
  <c r="M16" i="5"/>
  <c r="I16" i="5"/>
  <c r="G16" i="5"/>
  <c r="M15" i="5"/>
  <c r="I15" i="5"/>
  <c r="G15" i="5"/>
  <c r="G13" i="5"/>
  <c r="O12" i="5"/>
  <c r="I12" i="5"/>
  <c r="G12" i="5"/>
  <c r="R10" i="5"/>
  <c r="S10" i="5" s="1"/>
  <c r="E6" i="5"/>
  <c r="C6" i="5"/>
  <c r="G3" i="5"/>
  <c r="E35" i="9"/>
  <c r="E36" i="9" s="1"/>
  <c r="M25" i="9"/>
  <c r="M24" i="9"/>
  <c r="M23" i="9"/>
  <c r="G23" i="9"/>
  <c r="G22" i="9"/>
  <c r="O21" i="9"/>
  <c r="G21" i="9"/>
  <c r="G20" i="9"/>
  <c r="G19" i="9"/>
  <c r="I18" i="9"/>
  <c r="G18" i="9"/>
  <c r="M17" i="9"/>
  <c r="I17" i="9"/>
  <c r="G17" i="9"/>
  <c r="M16" i="9"/>
  <c r="I16" i="9"/>
  <c r="G16" i="9"/>
  <c r="M15" i="9"/>
  <c r="I15" i="9"/>
  <c r="G15" i="9"/>
  <c r="G13" i="9"/>
  <c r="O12" i="9"/>
  <c r="I12" i="9"/>
  <c r="G12" i="9"/>
  <c r="R10" i="9"/>
  <c r="S10" i="9" s="1"/>
  <c r="E6" i="9"/>
  <c r="R26" i="9"/>
  <c r="G3" i="9"/>
  <c r="E35" i="1"/>
  <c r="M25" i="1"/>
  <c r="M24" i="1"/>
  <c r="M23" i="1"/>
  <c r="G23" i="1"/>
  <c r="G22" i="1"/>
  <c r="O21" i="1"/>
  <c r="G21" i="1"/>
  <c r="G20" i="1"/>
  <c r="G19" i="1"/>
  <c r="I18" i="1"/>
  <c r="G18" i="1"/>
  <c r="M17" i="1"/>
  <c r="I17" i="1"/>
  <c r="G17" i="1"/>
  <c r="M16" i="1"/>
  <c r="I16" i="1"/>
  <c r="G16" i="1"/>
  <c r="M15" i="1"/>
  <c r="I15" i="1"/>
  <c r="G15" i="1"/>
  <c r="G13" i="1"/>
  <c r="O12" i="1"/>
  <c r="I12" i="1"/>
  <c r="G12" i="1"/>
  <c r="R10" i="1"/>
  <c r="S10" i="1" s="1"/>
  <c r="E6" i="1"/>
  <c r="R27" i="1"/>
  <c r="G3" i="1"/>
  <c r="H40" i="3"/>
  <c r="F5" i="3"/>
  <c r="U32" i="3" s="1"/>
  <c r="A5" i="3"/>
  <c r="E5" i="3" s="1"/>
  <c r="W1" i="3"/>
  <c r="E9" i="1" l="1"/>
  <c r="E26" i="1" s="1"/>
  <c r="E9" i="9"/>
  <c r="E26" i="9" s="1"/>
  <c r="E9" i="5"/>
  <c r="E26" i="5" s="1"/>
  <c r="R26" i="7"/>
  <c r="R27" i="7"/>
  <c r="E27" i="7"/>
  <c r="F6" i="7" s="1"/>
  <c r="B22" i="7" s="1"/>
  <c r="D37" i="7" s="1"/>
  <c r="AF20" i="3"/>
  <c r="R27" i="9"/>
  <c r="S26" i="9" s="1"/>
  <c r="R31" i="9" s="1"/>
  <c r="B30" i="9"/>
  <c r="E27" i="9" s="1"/>
  <c r="R26" i="6"/>
  <c r="B30" i="6"/>
  <c r="E27" i="6" s="1"/>
  <c r="F6" i="6" s="1"/>
  <c r="B22" i="6" s="1"/>
  <c r="D37" i="6" s="1"/>
  <c r="R27" i="6"/>
  <c r="R27" i="5"/>
  <c r="R26" i="5"/>
  <c r="B30" i="5"/>
  <c r="E27" i="5" s="1"/>
  <c r="R26" i="1"/>
  <c r="S26" i="1" s="1"/>
  <c r="R31" i="1" s="1"/>
  <c r="J5" i="3"/>
  <c r="B30" i="1"/>
  <c r="E31" i="1" s="1"/>
  <c r="E32" i="1" s="1"/>
  <c r="E33" i="1" s="1"/>
  <c r="F6" i="9" l="1"/>
  <c r="B22" i="9" s="1"/>
  <c r="D37" i="9" s="1"/>
  <c r="Z11" i="3" s="1"/>
  <c r="F6" i="5"/>
  <c r="B22" i="5" s="1"/>
  <c r="D37" i="5" s="1"/>
  <c r="S26" i="7"/>
  <c r="R31" i="7" s="1"/>
  <c r="E31" i="9"/>
  <c r="E32" i="9" s="1"/>
  <c r="E33" i="9" s="1"/>
  <c r="S26" i="5"/>
  <c r="R31" i="5" s="1"/>
  <c r="S26" i="6"/>
  <c r="R31" i="6" s="1"/>
  <c r="E31" i="6"/>
  <c r="E32" i="6" s="1"/>
  <c r="E33" i="6" s="1"/>
  <c r="E31" i="5"/>
  <c r="E32" i="5" s="1"/>
  <c r="E33" i="5" s="1"/>
  <c r="E27" i="1"/>
  <c r="F6" i="1" s="1"/>
  <c r="B22" i="1" s="1"/>
  <c r="D37" i="1" l="1"/>
  <c r="AF24" i="3" s="1"/>
  <c r="AF16" i="3"/>
  <c r="Z14" i="3" s="1"/>
  <c r="AK16" i="3"/>
  <c r="AL7" i="3" l="1"/>
  <c r="AJ7" i="3" s="1"/>
  <c r="AL8" i="3"/>
  <c r="AJ8" i="3" s="1"/>
  <c r="K5" i="3"/>
  <c r="AL9" i="3"/>
  <c r="AJ9" i="3" s="1"/>
  <c r="C21" i="3" l="1"/>
  <c r="AF5" i="3"/>
  <c r="I21" i="3" s="1"/>
  <c r="AK10" i="3"/>
  <c r="S25" i="3" s="1"/>
  <c r="O21" i="3" l="1"/>
  <c r="S21" i="3" s="1"/>
  <c r="S30" i="3" s="1"/>
  <c r="S33" i="3" s="1"/>
  <c r="W8" i="3"/>
  <c r="Z33" i="3" l="1"/>
  <c r="C40" i="3" l="1"/>
  <c r="N40" i="3" s="1"/>
  <c r="Y40" i="3" l="1"/>
</calcChain>
</file>

<file path=xl/comments1.xml><?xml version="1.0" encoding="utf-8"?>
<comments xmlns="http://schemas.openxmlformats.org/spreadsheetml/2006/main">
  <authors>
    <author>作成者</author>
  </authors>
  <commentList>
    <comment ref="AG33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障害認定の人には対応してません！！</t>
        </r>
      </text>
    </comment>
  </commentList>
</comments>
</file>

<file path=xl/sharedStrings.xml><?xml version="1.0" encoding="utf-8"?>
<sst xmlns="http://schemas.openxmlformats.org/spreadsheetml/2006/main" count="434" uniqueCount="114">
  <si>
    <t>所得計算方法</t>
    <rPh sb="0" eb="2">
      <t>ショトク</t>
    </rPh>
    <rPh sb="2" eb="4">
      <t>ケイサン</t>
    </rPh>
    <rPh sb="4" eb="6">
      <t>ホウホウ</t>
    </rPh>
    <phoneticPr fontId="2"/>
  </si>
  <si>
    <t>給与収入金額</t>
    <rPh sb="0" eb="2">
      <t>キュウヨ</t>
    </rPh>
    <rPh sb="2" eb="4">
      <t>シュウニュウ</t>
    </rPh>
    <rPh sb="4" eb="6">
      <t>キンガク</t>
    </rPh>
    <phoneticPr fontId="2"/>
  </si>
  <si>
    <t>判定用</t>
    <rPh sb="0" eb="3">
      <t>ハンテイヨウ</t>
    </rPh>
    <phoneticPr fontId="2"/>
  </si>
  <si>
    <t>～550,999</t>
    <phoneticPr fontId="2"/>
  </si>
  <si>
    <t>551,000～1,618,999</t>
    <phoneticPr fontId="2"/>
  </si>
  <si>
    <t>乗率</t>
    <rPh sb="0" eb="2">
      <t>ジョウリツ</t>
    </rPh>
    <phoneticPr fontId="2"/>
  </si>
  <si>
    <t>1,619,000～1,619,999</t>
    <phoneticPr fontId="2"/>
  </si>
  <si>
    <t>1,620,000～1,621,999</t>
    <phoneticPr fontId="2"/>
  </si>
  <si>
    <t>1,622,000～1,623,999</t>
    <phoneticPr fontId="2"/>
  </si>
  <si>
    <t>1,624,000～1,627,999</t>
    <phoneticPr fontId="2"/>
  </si>
  <si>
    <t>1,628,000～1,799,999</t>
    <phoneticPr fontId="2"/>
  </si>
  <si>
    <t>1,800,000～3,599,999</t>
    <phoneticPr fontId="2"/>
  </si>
  <si>
    <t>3,600,000～6,599,999</t>
    <phoneticPr fontId="2"/>
  </si>
  <si>
    <t>6,600,000～8,499,999</t>
    <phoneticPr fontId="2"/>
  </si>
  <si>
    <t>8,500,000～</t>
    <phoneticPr fontId="2"/>
  </si>
  <si>
    <t>基礎数値</t>
    <rPh sb="0" eb="2">
      <t>キソ</t>
    </rPh>
    <rPh sb="2" eb="4">
      <t>スウチ</t>
    </rPh>
    <phoneticPr fontId="2"/>
  </si>
  <si>
    <t>←入力</t>
    <rPh sb="1" eb="3">
      <t>ニュウリョク</t>
    </rPh>
    <phoneticPr fontId="2"/>
  </si>
  <si>
    <t>公的年金等収入金額</t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phoneticPr fontId="2"/>
  </si>
  <si>
    <t>3,300,001～4,100,000</t>
    <phoneticPr fontId="2"/>
  </si>
  <si>
    <t>4,100,001～7,700,000</t>
    <phoneticPr fontId="2"/>
  </si>
  <si>
    <t>7,700,001～10,000,000</t>
    <phoneticPr fontId="2"/>
  </si>
  <si>
    <t>10,000,001～</t>
    <phoneticPr fontId="2"/>
  </si>
  <si>
    <t>～600,000</t>
    <phoneticPr fontId="2"/>
  </si>
  <si>
    <t>600,001～1,300,000</t>
    <phoneticPr fontId="2"/>
  </si>
  <si>
    <t>公的年金等所得</t>
    <rPh sb="0" eb="2">
      <t>コウテキ</t>
    </rPh>
    <rPh sb="2" eb="4">
      <t>ネンキン</t>
    </rPh>
    <rPh sb="4" eb="5">
      <t>トウ</t>
    </rPh>
    <rPh sb="5" eb="7">
      <t>ショトク</t>
    </rPh>
    <phoneticPr fontId="2"/>
  </si>
  <si>
    <t>1,300,001～4,100,000</t>
    <phoneticPr fontId="2"/>
  </si>
  <si>
    <t>1,100,001～3,300,000</t>
    <phoneticPr fontId="2"/>
  </si>
  <si>
    <t>～1,100,000</t>
    <phoneticPr fontId="2"/>
  </si>
  <si>
    <t>65歳以上</t>
    <rPh sb="2" eb="5">
      <t>サイイジョウ</t>
    </rPh>
    <phoneticPr fontId="2"/>
  </si>
  <si>
    <t>基準日</t>
    <rPh sb="0" eb="3">
      <t>キジュンビ</t>
    </rPh>
    <phoneticPr fontId="2"/>
  </si>
  <si>
    <t>65歳未満</t>
    <rPh sb="2" eb="5">
      <t>サイミマン</t>
    </rPh>
    <phoneticPr fontId="2"/>
  </si>
  <si>
    <t>〇</t>
    <phoneticPr fontId="2"/>
  </si>
  <si>
    <t>所得金額調整控除（１）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</si>
  <si>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所得金額調整控除（２）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</si>
  <si>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所得調整控除（１）基準額</t>
    <rPh sb="0" eb="2">
      <t>ショトク</t>
    </rPh>
    <rPh sb="2" eb="4">
      <t>チョウセイ</t>
    </rPh>
    <rPh sb="4" eb="6">
      <t>コウジョ</t>
    </rPh>
    <rPh sb="9" eb="11">
      <t>キジュン</t>
    </rPh>
    <rPh sb="11" eb="12">
      <t>ガク</t>
    </rPh>
    <phoneticPr fontId="2"/>
  </si>
  <si>
    <t>所得金額調整控除（２）基準額</t>
    <rPh sb="0" eb="2">
      <t>ショトク</t>
    </rPh>
    <rPh sb="2" eb="4">
      <t>キンガク</t>
    </rPh>
    <rPh sb="4" eb="6">
      <t>チョウセイ</t>
    </rPh>
    <rPh sb="6" eb="8">
      <t>コウジョ</t>
    </rPh>
    <rPh sb="11" eb="13">
      <t>キジュン</t>
    </rPh>
    <rPh sb="13" eb="14">
      <t>ガク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</si>
  <si>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</si>
  <si>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</si>
  <si>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給与所得（給与のみ算定）</t>
    <rPh sb="0" eb="2">
      <t>キュウヨ</t>
    </rPh>
    <rPh sb="2" eb="4">
      <t>ショトク</t>
    </rPh>
    <rPh sb="5" eb="7">
      <t>キュウヨ</t>
    </rPh>
    <rPh sb="9" eb="11">
      <t>サンテイ</t>
    </rPh>
    <phoneticPr fontId="2"/>
  </si>
  <si>
    <t>給与所得</t>
    <phoneticPr fontId="2"/>
  </si>
  <si>
    <t>合計所得</t>
    <rPh sb="0" eb="2">
      <t>ゴウケイ</t>
    </rPh>
    <rPh sb="2" eb="4">
      <t>ショトク</t>
    </rPh>
    <phoneticPr fontId="2"/>
  </si>
  <si>
    <t>※複数の所得がある場合は合計値を入力</t>
    <rPh sb="1" eb="3">
      <t>フクスウ</t>
    </rPh>
    <rPh sb="4" eb="6">
      <t>ショトク</t>
    </rPh>
    <rPh sb="9" eb="11">
      <t>バアイ</t>
    </rPh>
    <rPh sb="12" eb="15">
      <t>ゴウケイチ</t>
    </rPh>
    <rPh sb="16" eb="18">
      <t>ニュウリョク</t>
    </rPh>
    <phoneticPr fontId="2"/>
  </si>
  <si>
    <r>
      <t>※②給与収入が</t>
    </r>
    <r>
      <rPr>
        <u/>
        <sz val="11"/>
        <color rgb="FFFF0000"/>
        <rFont val="HG丸ｺﾞｼｯｸM-PRO"/>
        <family val="3"/>
        <charset val="128"/>
      </rPr>
      <t>850万円を超える場合のみ</t>
    </r>
    <r>
      <rPr>
        <sz val="11"/>
        <color theme="1"/>
        <rFont val="HG丸ｺﾞｼｯｸM-PRO"/>
        <family val="3"/>
        <charset val="128"/>
      </rPr>
      <t>③の欄に〇か×を選択してください。</t>
    </r>
    <rPh sb="2" eb="4">
      <t>キュウヨ</t>
    </rPh>
    <rPh sb="4" eb="6">
      <t>シュウニュウ</t>
    </rPh>
    <rPh sb="10" eb="12">
      <t>マンエン</t>
    </rPh>
    <rPh sb="13" eb="14">
      <t>コ</t>
    </rPh>
    <rPh sb="16" eb="18">
      <t>バアイ</t>
    </rPh>
    <rPh sb="22" eb="23">
      <t>ラン</t>
    </rPh>
    <rPh sb="28" eb="30">
      <t>センタク</t>
    </rPh>
    <phoneticPr fontId="2"/>
  </si>
  <si>
    <t>×</t>
  </si>
  <si>
    <t>×</t>
    <phoneticPr fontId="2"/>
  </si>
  <si>
    <t>Ａ　本人・同一生計配偶者・扶養親族のいずれかが特別障害者である</t>
    <rPh sb="2" eb="4">
      <t>ホンニン</t>
    </rPh>
    <rPh sb="5" eb="7">
      <t>ドウイツ</t>
    </rPh>
    <rPh sb="7" eb="9">
      <t>セイケイ</t>
    </rPh>
    <rPh sb="9" eb="12">
      <t>ハイグウシャ</t>
    </rPh>
    <rPh sb="13" eb="15">
      <t>フヨウ</t>
    </rPh>
    <rPh sb="15" eb="17">
      <t>シンゾク</t>
    </rPh>
    <rPh sb="23" eb="25">
      <t>トクベツ</t>
    </rPh>
    <rPh sb="25" eb="28">
      <t>ショウガイシャ</t>
    </rPh>
    <phoneticPr fontId="2"/>
  </si>
  <si>
    <t>Ｂ　23歳未満の扶養親族がいる</t>
    <rPh sb="4" eb="7">
      <t>サイミマン</t>
    </rPh>
    <rPh sb="8" eb="10">
      <t>フヨウ</t>
    </rPh>
    <rPh sb="10" eb="12">
      <t>シンゾク</t>
    </rPh>
    <phoneticPr fontId="2"/>
  </si>
  <si>
    <t>←Ａ、Ｂのいずれかまたは両方に該当する</t>
    <rPh sb="12" eb="14">
      <t>リョウホウ</t>
    </rPh>
    <rPh sb="15" eb="17">
      <t>ガイトウ</t>
    </rPh>
    <phoneticPr fontId="2"/>
  </si>
  <si>
    <t>③</t>
    <phoneticPr fontId="2"/>
  </si>
  <si>
    <t>④公的年金等収入</t>
    <rPh sb="1" eb="3">
      <t>コウテキ</t>
    </rPh>
    <rPh sb="3" eb="5">
      <t>ネンキン</t>
    </rPh>
    <rPh sb="5" eb="6">
      <t>トウ</t>
    </rPh>
    <rPh sb="6" eb="8">
      <t>シュウニュウ</t>
    </rPh>
    <phoneticPr fontId="2"/>
  </si>
  <si>
    <t>⑤その他所得（事業所得、不動産所得等）</t>
    <rPh sb="3" eb="4">
      <t>タ</t>
    </rPh>
    <rPh sb="4" eb="6">
      <t>ショトク</t>
    </rPh>
    <rPh sb="7" eb="9">
      <t>ジギョウ</t>
    </rPh>
    <rPh sb="9" eb="11">
      <t>ショトク</t>
    </rPh>
    <rPh sb="12" eb="15">
      <t>フドウサン</t>
    </rPh>
    <rPh sb="15" eb="17">
      <t>ショトク</t>
    </rPh>
    <rPh sb="17" eb="18">
      <t>トウ</t>
    </rPh>
    <phoneticPr fontId="2"/>
  </si>
  <si>
    <t>算定日</t>
  </si>
  <si>
    <t>生年月日</t>
  </si>
  <si>
    <t>年</t>
  </si>
  <si>
    <t>加入する方の所得</t>
    <rPh sb="4" eb="5">
      <t>カタ</t>
    </rPh>
    <rPh sb="6" eb="8">
      <t>ショトク</t>
    </rPh>
    <phoneticPr fontId="8"/>
  </si>
  <si>
    <t>基礎控除額</t>
    <rPh sb="0" eb="2">
      <t>キソ</t>
    </rPh>
    <rPh sb="2" eb="4">
      <t>コウジョ</t>
    </rPh>
    <rPh sb="4" eb="5">
      <t>ガク</t>
    </rPh>
    <phoneticPr fontId="10"/>
  </si>
  <si>
    <t>世帯主が加入の場合のみ下段有効</t>
  </si>
  <si>
    <t>※専従者注意</t>
    <rPh sb="1" eb="4">
      <t>センジュウシャ</t>
    </rPh>
    <rPh sb="4" eb="6">
      <t>チュウイ</t>
    </rPh>
    <phoneticPr fontId="8"/>
  </si>
  <si>
    <t>2軽減</t>
    <phoneticPr fontId="8"/>
  </si>
  <si>
    <t>5軽減</t>
    <phoneticPr fontId="8"/>
  </si>
  <si>
    <t>7軽減</t>
    <phoneticPr fontId="8"/>
  </si>
  <si>
    <t>合計</t>
  </si>
  <si>
    <t>人</t>
    <rPh sb="0" eb="1">
      <t>ニン</t>
    </rPh>
    <phoneticPr fontId="10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</si>
  <si>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10"/>
  </si>
  <si>
    <t>医療分</t>
    <phoneticPr fontId="8"/>
  </si>
  <si>
    <t>総所得金額</t>
  </si>
  <si>
    <t>保険税基礎控除</t>
  </si>
  <si>
    <t>(所得)</t>
    <rPh sb="1" eb="3">
      <t>ショトク</t>
    </rPh>
    <phoneticPr fontId="8"/>
  </si>
  <si>
    <t>円－</t>
  </si>
  <si>
    <t>円×</t>
  </si>
  <si>
    <t>％＝</t>
  </si>
  <si>
    <t>円</t>
  </si>
  <si>
    <t>１人あたり金額</t>
  </si>
  <si>
    <t>(均等)</t>
    <rPh sb="1" eb="3">
      <t>キントウ</t>
    </rPh>
    <phoneticPr fontId="8"/>
  </si>
  <si>
    <t>円＝</t>
  </si>
  <si>
    <t>※軽減対象</t>
  </si>
  <si>
    <t>限度額</t>
  </si>
  <si>
    <t>改め</t>
  </si>
  <si>
    <t>年額</t>
  </si>
  <si>
    <t>100円以下切り捨て</t>
  </si>
  <si>
    <t>約</t>
  </si>
  <si>
    <t>ヵ月／12ヵ月＝</t>
    <phoneticPr fontId="8"/>
  </si>
  <si>
    <t>１ヵ月あたり</t>
  </si>
  <si>
    <t>　</t>
    <phoneticPr fontId="8"/>
  </si>
  <si>
    <t>①氏名</t>
    <rPh sb="1" eb="3">
      <t>シメイ</t>
    </rPh>
    <phoneticPr fontId="2"/>
  </si>
  <si>
    <t>②生年月日</t>
    <rPh sb="1" eb="3">
      <t>セイネン</t>
    </rPh>
    <rPh sb="3" eb="5">
      <t>ガッピ</t>
    </rPh>
    <phoneticPr fontId="2"/>
  </si>
  <si>
    <t>③給与収入</t>
    <rPh sb="1" eb="3">
      <t>キュウヨ</t>
    </rPh>
    <rPh sb="3" eb="5">
      <t>シュウニュウ</t>
    </rPh>
    <phoneticPr fontId="2"/>
  </si>
  <si>
    <t xml:space="preserve">  （特別障害者とは身体障害者手帳一級または二級、精神障害者保健福祉手帳</t>
    <rPh sb="3" eb="5">
      <t>トクベツ</t>
    </rPh>
    <rPh sb="5" eb="8">
      <t>ショウガイシャ</t>
    </rPh>
    <rPh sb="10" eb="12">
      <t>シンタイ</t>
    </rPh>
    <rPh sb="12" eb="14">
      <t>ショウガイ</t>
    </rPh>
    <rPh sb="14" eb="15">
      <t>シャ</t>
    </rPh>
    <rPh sb="15" eb="17">
      <t>テチョウ</t>
    </rPh>
    <rPh sb="17" eb="19">
      <t>イッキュウ</t>
    </rPh>
    <rPh sb="22" eb="24">
      <t>ニキュウ</t>
    </rPh>
    <phoneticPr fontId="2"/>
  </si>
  <si>
    <t>給与所得者等確認</t>
    <rPh sb="0" eb="2">
      <t>キュウヨ</t>
    </rPh>
    <rPh sb="2" eb="4">
      <t>ショトク</t>
    </rPh>
    <rPh sb="4" eb="5">
      <t>シャ</t>
    </rPh>
    <rPh sb="5" eb="6">
      <t>トウ</t>
    </rPh>
    <rPh sb="6" eb="8">
      <t>カクニン</t>
    </rPh>
    <phoneticPr fontId="2"/>
  </si>
  <si>
    <t>給与所得者等該当</t>
    <rPh sb="0" eb="2">
      <t>キュウヨ</t>
    </rPh>
    <rPh sb="2" eb="4">
      <t>ショトク</t>
    </rPh>
    <rPh sb="4" eb="5">
      <t>シャ</t>
    </rPh>
    <rPh sb="5" eb="6">
      <t>トウ</t>
    </rPh>
    <rPh sb="6" eb="8">
      <t>ガイトウ</t>
    </rPh>
    <phoneticPr fontId="2"/>
  </si>
  <si>
    <t>該当なし</t>
    <rPh sb="0" eb="2">
      <t>ガイトウ</t>
    </rPh>
    <phoneticPr fontId="2"/>
  </si>
  <si>
    <t>2割軽減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</si>
  <si>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</si>
  <si>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7割軽減</t>
    <rPh sb="1" eb="2">
      <t>ワリ</t>
    </rPh>
    <rPh sb="2" eb="4">
      <t>ケイゲン</t>
    </rPh>
    <phoneticPr fontId="2"/>
  </si>
  <si>
    <t>⇒</t>
    <phoneticPr fontId="2"/>
  </si>
  <si>
    <t>年金特別控除（軽減用）</t>
    <rPh sb="0" eb="2">
      <t>ネンキン</t>
    </rPh>
    <rPh sb="2" eb="4">
      <t>トクベツ</t>
    </rPh>
    <rPh sb="4" eb="6">
      <t>コウジョ</t>
    </rPh>
    <rPh sb="7" eb="9">
      <t>ケイゲン</t>
    </rPh>
    <rPh sb="9" eb="10">
      <t>ヨウ</t>
    </rPh>
    <phoneticPr fontId="2"/>
  </si>
  <si>
    <t>公的年金特別控除額</t>
    <rPh sb="0" eb="2">
      <t>コウテキ</t>
    </rPh>
    <rPh sb="2" eb="4">
      <t>ネンキン</t>
    </rPh>
    <rPh sb="4" eb="6">
      <t>トクベツ</t>
    </rPh>
    <rPh sb="6" eb="8">
      <t>コウジョ</t>
    </rPh>
    <rPh sb="8" eb="9">
      <t>ガク</t>
    </rPh>
    <phoneticPr fontId="2"/>
  </si>
  <si>
    <t>均等割基準額</t>
    <rPh sb="0" eb="3">
      <t>キントウワ</t>
    </rPh>
    <rPh sb="3" eb="5">
      <t>キジュン</t>
    </rPh>
    <rPh sb="5" eb="6">
      <t>ガク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</si>
  <si>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</si>
  <si>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t>〇均等割の軽減について</t>
    <rPh sb="1" eb="4">
      <t>キントウワ</t>
    </rPh>
    <rPh sb="5" eb="7">
      <t>ケイゲン</t>
    </rPh>
    <phoneticPr fontId="2"/>
  </si>
  <si>
    <t>〇何月に資格を取得されますか？</t>
    <rPh sb="1" eb="3">
      <t>ナンガツ</t>
    </rPh>
    <rPh sb="4" eb="6">
      <t>シカク</t>
    </rPh>
    <rPh sb="7" eb="9">
      <t>シュトク</t>
    </rPh>
    <phoneticPr fontId="2"/>
  </si>
  <si>
    <t>月取得</t>
    <rPh sb="0" eb="1">
      <t>ツキ</t>
    </rPh>
    <rPh sb="1" eb="3">
      <t>シュトク</t>
    </rPh>
    <phoneticPr fontId="2"/>
  </si>
  <si>
    <t>世帯主所得</t>
    <rPh sb="0" eb="2">
      <t>セタイ</t>
    </rPh>
    <phoneticPr fontId="2"/>
  </si>
  <si>
    <t>後期高齢者医療保険料年額計算（概算）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2"/>
  </si>
  <si>
    <t>軽減算定人数</t>
    <rPh sb="0" eb="2">
      <t>ケイゲン</t>
    </rPh>
    <rPh sb="2" eb="4">
      <t>サンテイ</t>
    </rPh>
    <rPh sb="4" eb="6">
      <t>ニンズウ</t>
    </rPh>
    <phoneticPr fontId="2"/>
  </si>
  <si>
    <t>軽減判定合計所得</t>
    <rPh sb="0" eb="2">
      <t>ケイゲン</t>
    </rPh>
    <rPh sb="2" eb="4">
      <t>ハンテイ</t>
    </rPh>
    <rPh sb="4" eb="6">
      <t>ゴウケイ</t>
    </rPh>
    <rPh sb="6" eb="8">
      <t>ショトク</t>
    </rPh>
    <phoneticPr fontId="2"/>
  </si>
  <si>
    <t>氏名</t>
    <phoneticPr fontId="2"/>
  </si>
  <si>
    <t>(例)昭和20年1月1日生まれの場合、1945/1/1と入力してください。</t>
    <rPh sb="1" eb="2">
      <t>レイ</t>
    </rPh>
    <rPh sb="3" eb="5">
      <t>ショウワ</t>
    </rPh>
    <rPh sb="7" eb="8">
      <t>ネン</t>
    </rPh>
    <rPh sb="9" eb="10">
      <t>ガツ</t>
    </rPh>
    <rPh sb="11" eb="12">
      <t>ニチ</t>
    </rPh>
    <rPh sb="12" eb="13">
      <t>ウ</t>
    </rPh>
    <rPh sb="16" eb="18">
      <t>バアイ</t>
    </rPh>
    <rPh sb="28" eb="30">
      <t>ニュウリョク</t>
    </rPh>
    <phoneticPr fontId="2"/>
  </si>
  <si>
    <t>R6.1.1時点年齢</t>
    <rPh sb="6" eb="8">
      <t>ジテン</t>
    </rPh>
    <rPh sb="8" eb="10">
      <t>ネンレイ</t>
    </rPh>
    <phoneticPr fontId="2"/>
  </si>
  <si>
    <t>軽減所得割率</t>
    <rPh sb="0" eb="2">
      <t>ケイゲン</t>
    </rPh>
    <rPh sb="2" eb="4">
      <t>ショトク</t>
    </rPh>
    <rPh sb="4" eb="5">
      <t>ワリ</t>
    </rPh>
    <rPh sb="5" eb="6">
      <t>リツ</t>
    </rPh>
    <phoneticPr fontId="2"/>
  </si>
  <si>
    <t>R6年度以降後期</t>
  </si>
  <si>
    <t>R5年度末時点で後期</t>
  </si>
  <si>
    <t>←R5.3.31時点で被保険者か判定基準日</t>
    <rPh sb="8" eb="10">
      <t>ジテン</t>
    </rPh>
    <rPh sb="11" eb="15">
      <t>ヒホケンシャ</t>
    </rPh>
    <rPh sb="16" eb="18">
      <t>ハンテイ</t>
    </rPh>
    <rPh sb="18" eb="21">
      <t>キジュンビ</t>
    </rPh>
    <phoneticPr fontId="2"/>
  </si>
  <si>
    <t>軽減判定用合計所得</t>
    <rPh sb="0" eb="2">
      <t>ケイゲン</t>
    </rPh>
    <rPh sb="2" eb="5">
      <t>ハンテイヨウ</t>
    </rPh>
    <rPh sb="5" eb="7">
      <t>ゴウケイ</t>
    </rPh>
    <rPh sb="7" eb="9">
      <t>ショトク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</si>
</sst>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&quot;円&quot;"/>
    <numFmt numFmtId="177" formatCode="[$-411]ggge&quot;年&quot;m&quot;月&quot;d&quot;日&quot;;@"/>
    <numFmt numFmtId="178" formatCode="#,##0&quot;歳&quot;"/>
    <numFmt numFmtId="179" formatCode="0;\-0;;@"/>
    <numFmt numFmtId="180" formatCode="yyyy&quot;年&quot;m&quot;月&quot;;@"/>
    <numFmt numFmtId="181" formatCode="0_);[Red]\(0\)"/>
    <numFmt numFmtId="182" formatCode="[$-411]ge\.m\.d;@"/>
  </numFmts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8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167">
    <xf numFmtId="0" fontId="0" fillId="0" borderId="0" xfId="0"/>
    <xf numFmtId="0" fontId="3" fillId="0" borderId="0" xfId="0" applyFont="1"/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0" xfId="0" applyNumberFormat="1" applyFont="1" applyBorder="1"/>
    <xf numFmtId="176" fontId="3" fillId="0" borderId="0" xfId="0" applyNumberFormat="1" applyFont="1" applyBorder="1"/>
    <xf numFmtId="176" fontId="3" fillId="0" borderId="0" xfId="1" applyNumberFormat="1" applyFont="1" applyBorder="1" applyAlignment="1"/>
    <xf numFmtId="0" fontId="5" fillId="0" borderId="0" xfId="0" applyFont="1"/>
    <xf numFmtId="0" fontId="3" fillId="0" borderId="1" xfId="0" applyFont="1" applyBorder="1"/>
    <xf numFmtId="38" fontId="3" fillId="0" borderId="1" xfId="1" applyFont="1" applyBorder="1" applyAlignment="1"/>
    <xf numFmtId="176" fontId="3" fillId="0" borderId="1" xfId="1" applyNumberFormat="1" applyFont="1" applyBorder="1" applyAlignment="1"/>
    <xf numFmtId="176" fontId="3" fillId="0" borderId="0" xfId="0" applyNumberFormat="1" applyFont="1"/>
    <xf numFmtId="176" fontId="6" fillId="0" borderId="1" xfId="0" applyNumberFormat="1" applyFont="1" applyBorder="1"/>
    <xf numFmtId="0" fontId="3" fillId="0" borderId="2" xfId="0" applyFont="1" applyFill="1" applyBorder="1"/>
    <xf numFmtId="176" fontId="6" fillId="0" borderId="1" xfId="1" applyNumberFormat="1" applyFont="1" applyBorder="1" applyAlignment="1"/>
    <xf numFmtId="176" fontId="6" fillId="0" borderId="3" xfId="0" applyNumberFormat="1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176" fontId="3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2" borderId="1" xfId="0" applyNumberFormat="1" applyFont="1" applyFill="1" applyBorder="1" applyProtection="1">
      <protection locked="0"/>
    </xf>
    <xf numFmtId="176" fontId="3" fillId="2" borderId="1" xfId="1" applyNumberFormat="1" applyFont="1" applyFill="1" applyBorder="1" applyAlignment="1" applyProtection="1">
      <protection locked="0"/>
    </xf>
    <xf numFmtId="176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shrinkToFit="1"/>
    </xf>
    <xf numFmtId="41" fontId="14" fillId="0" borderId="0" xfId="2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41" fontId="16" fillId="0" borderId="0" xfId="2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41" fontId="16" fillId="0" borderId="0" xfId="2" applyNumberFormat="1" applyFont="1" applyFill="1" applyBorder="1" applyAlignment="1" applyProtection="1">
      <alignment vertical="center"/>
    </xf>
    <xf numFmtId="41" fontId="19" fillId="0" borderId="0" xfId="2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41" fontId="20" fillId="0" borderId="0" xfId="2" applyNumberFormat="1" applyFont="1" applyFill="1" applyBorder="1" applyAlignment="1" applyProtection="1">
      <alignment vertical="center"/>
    </xf>
    <xf numFmtId="4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quotePrefix="1" applyFont="1" applyFill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38" fontId="16" fillId="0" borderId="0" xfId="2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41" fontId="16" fillId="0" borderId="0" xfId="0" applyNumberFormat="1" applyFont="1" applyFill="1" applyBorder="1" applyAlignment="1" applyProtection="1">
      <alignment horizontal="left" vertical="center"/>
    </xf>
    <xf numFmtId="38" fontId="21" fillId="0" borderId="0" xfId="2" applyFont="1" applyBorder="1" applyAlignment="1" applyProtection="1">
      <alignment vertical="center"/>
    </xf>
    <xf numFmtId="41" fontId="16" fillId="0" borderId="0" xfId="2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Fill="1" applyAlignment="1" applyProtection="1">
      <alignment vertical="center"/>
    </xf>
    <xf numFmtId="57" fontId="4" fillId="0" borderId="0" xfId="0" applyNumberFormat="1" applyFont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top"/>
    </xf>
    <xf numFmtId="41" fontId="11" fillId="0" borderId="0" xfId="2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right" vertical="center"/>
    </xf>
    <xf numFmtId="41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58" fontId="4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41" fontId="16" fillId="0" borderId="9" xfId="2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Alignment="1" applyProtection="1">
      <alignment vertical="center" shrinkToFit="1"/>
    </xf>
    <xf numFmtId="181" fontId="4" fillId="0" borderId="0" xfId="0" applyNumberFormat="1" applyFont="1" applyFill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right" vertical="center"/>
    </xf>
    <xf numFmtId="41" fontId="16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7" fontId="3" fillId="0" borderId="1" xfId="0" applyNumberFormat="1" applyFont="1" applyBorder="1" applyAlignment="1">
      <alignment shrinkToFit="1"/>
    </xf>
    <xf numFmtId="0" fontId="4" fillId="0" borderId="30" xfId="0" applyFont="1" applyFill="1" applyBorder="1" applyAlignment="1" applyProtection="1">
      <alignment vertical="center"/>
    </xf>
    <xf numFmtId="182" fontId="4" fillId="0" borderId="0" xfId="0" applyNumberFormat="1" applyFont="1" applyFill="1" applyAlignment="1" applyProtection="1">
      <alignment vertical="center"/>
    </xf>
    <xf numFmtId="182" fontId="4" fillId="0" borderId="0" xfId="0" applyNumberFormat="1" applyFont="1" applyFill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41" fontId="25" fillId="0" borderId="0" xfId="2" applyNumberFormat="1" applyFont="1" applyFill="1" applyBorder="1" applyAlignment="1" applyProtection="1">
      <alignment horizontal="center" vertical="center" shrinkToFit="1"/>
    </xf>
    <xf numFmtId="179" fontId="12" fillId="0" borderId="0" xfId="3" applyNumberFormat="1" applyFont="1" applyFill="1" applyBorder="1" applyAlignment="1" applyProtection="1">
      <alignment horizontal="center" vertical="center"/>
    </xf>
    <xf numFmtId="57" fontId="4" fillId="0" borderId="0" xfId="0" applyNumberFormat="1" applyFont="1" applyFill="1" applyBorder="1" applyAlignment="1" applyProtection="1">
      <alignment horizontal="center" vertical="center" shrinkToFit="1"/>
    </xf>
    <xf numFmtId="179" fontId="12" fillId="0" borderId="9" xfId="3" applyNumberFormat="1" applyFont="1" applyFill="1" applyBorder="1" applyAlignment="1" applyProtection="1">
      <alignment horizontal="center" vertical="center"/>
    </xf>
    <xf numFmtId="57" fontId="4" fillId="0" borderId="9" xfId="0" applyNumberFormat="1" applyFont="1" applyFill="1" applyBorder="1" applyAlignment="1" applyProtection="1">
      <alignment horizontal="center" vertical="center" shrinkToFit="1"/>
    </xf>
    <xf numFmtId="41" fontId="25" fillId="0" borderId="9" xfId="2" applyNumberFormat="1" applyFont="1" applyFill="1" applyBorder="1" applyAlignment="1" applyProtection="1">
      <alignment horizontal="center" vertical="center" shrinkToFit="1"/>
    </xf>
    <xf numFmtId="58" fontId="4" fillId="0" borderId="5" xfId="0" applyNumberFormat="1" applyFont="1" applyFill="1" applyBorder="1" applyAlignment="1" applyProtection="1">
      <alignment horizontal="center" vertical="center"/>
    </xf>
    <xf numFmtId="58" fontId="4" fillId="0" borderId="6" xfId="0" applyNumberFormat="1" applyFont="1" applyFill="1" applyBorder="1" applyAlignment="1" applyProtection="1">
      <alignment horizontal="center" vertical="center"/>
    </xf>
    <xf numFmtId="58" fontId="4" fillId="0" borderId="4" xfId="0" applyNumberFormat="1" applyFont="1" applyFill="1" applyBorder="1" applyAlignment="1" applyProtection="1">
      <alignment horizontal="center" vertical="center"/>
    </xf>
    <xf numFmtId="41" fontId="16" fillId="0" borderId="14" xfId="2" applyNumberFormat="1" applyFont="1" applyFill="1" applyBorder="1" applyAlignment="1" applyProtection="1">
      <alignment vertical="center" shrinkToFit="1"/>
    </xf>
    <xf numFmtId="41" fontId="16" fillId="0" borderId="15" xfId="2" applyNumberFormat="1" applyFont="1" applyFill="1" applyBorder="1" applyAlignment="1" applyProtection="1">
      <alignment vertical="center" shrinkToFit="1"/>
    </xf>
    <xf numFmtId="41" fontId="16" fillId="0" borderId="16" xfId="2" applyNumberFormat="1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41" fontId="16" fillId="0" borderId="0" xfId="0" applyNumberFormat="1" applyFont="1" applyFill="1" applyBorder="1" applyAlignment="1" applyProtection="1">
      <alignment horizontal="center" vertical="center" shrinkToFit="1"/>
    </xf>
    <xf numFmtId="41" fontId="22" fillId="0" borderId="17" xfId="2" applyNumberFormat="1" applyFont="1" applyFill="1" applyBorder="1" applyAlignment="1" applyProtection="1">
      <alignment horizontal="center" vertical="center" shrinkToFit="1"/>
    </xf>
    <xf numFmtId="41" fontId="16" fillId="0" borderId="17" xfId="2" applyNumberFormat="1" applyFont="1" applyFill="1" applyBorder="1" applyAlignment="1" applyProtection="1">
      <alignment horizontal="center" vertical="center" shrinkToFit="1"/>
    </xf>
    <xf numFmtId="41" fontId="16" fillId="0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41" fontId="16" fillId="0" borderId="5" xfId="0" applyNumberFormat="1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41" fontId="16" fillId="0" borderId="14" xfId="0" applyNumberFormat="1" applyFont="1" applyFill="1" applyBorder="1" applyAlignment="1" applyProtection="1">
      <alignment horizontal="center" vertical="center" shrinkToFit="1"/>
    </xf>
    <xf numFmtId="0" fontId="16" fillId="0" borderId="15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41" fontId="24" fillId="0" borderId="0" xfId="2" applyNumberFormat="1" applyFont="1" applyFill="1" applyAlignment="1" applyProtection="1">
      <alignment horizontal="center" vertical="center" shrinkToFit="1"/>
    </xf>
    <xf numFmtId="41" fontId="16" fillId="0" borderId="14" xfId="2" applyNumberFormat="1" applyFont="1" applyFill="1" applyBorder="1" applyAlignment="1" applyProtection="1">
      <alignment vertical="center"/>
    </xf>
    <xf numFmtId="41" fontId="16" fillId="0" borderId="15" xfId="2" applyNumberFormat="1" applyFont="1" applyFill="1" applyBorder="1" applyAlignment="1" applyProtection="1">
      <alignment vertical="center"/>
    </xf>
    <xf numFmtId="41" fontId="16" fillId="0" borderId="16" xfId="2" applyNumberFormat="1" applyFont="1" applyFill="1" applyBorder="1" applyAlignment="1" applyProtection="1">
      <alignment vertical="center"/>
    </xf>
    <xf numFmtId="41" fontId="4" fillId="4" borderId="0" xfId="2" applyNumberFormat="1" applyFont="1" applyFill="1" applyBorder="1" applyAlignment="1" applyProtection="1">
      <alignment horizontal="center" vertical="center" shrinkToFit="1"/>
    </xf>
    <xf numFmtId="41" fontId="16" fillId="4" borderId="0" xfId="2" applyNumberFormat="1" applyFont="1" applyFill="1" applyBorder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179" fontId="4" fillId="2" borderId="8" xfId="3" applyNumberFormat="1" applyFont="1" applyFill="1" applyBorder="1" applyAlignment="1" applyProtection="1">
      <alignment horizontal="center" vertical="center"/>
    </xf>
    <xf numFmtId="179" fontId="4" fillId="2" borderId="9" xfId="3" applyNumberFormat="1" applyFont="1" applyFill="1" applyBorder="1" applyAlignment="1" applyProtection="1">
      <alignment horizontal="center" vertical="center"/>
    </xf>
    <xf numFmtId="179" fontId="4" fillId="2" borderId="11" xfId="3" applyNumberFormat="1" applyFont="1" applyFill="1" applyBorder="1" applyAlignment="1" applyProtection="1">
      <alignment horizontal="center" vertical="center"/>
    </xf>
    <xf numFmtId="179" fontId="4" fillId="2" borderId="7" xfId="3" applyNumberFormat="1" applyFont="1" applyFill="1" applyBorder="1" applyAlignment="1" applyProtection="1">
      <alignment horizontal="center" vertical="center"/>
    </xf>
    <xf numFmtId="57" fontId="4" fillId="2" borderId="8" xfId="0" applyNumberFormat="1" applyFont="1" applyFill="1" applyBorder="1" applyAlignment="1" applyProtection="1">
      <alignment horizontal="center" vertical="center" shrinkToFit="1"/>
    </xf>
    <xf numFmtId="57" fontId="4" fillId="2" borderId="9" xfId="0" applyNumberFormat="1" applyFont="1" applyFill="1" applyBorder="1" applyAlignment="1" applyProtection="1">
      <alignment horizontal="center" vertical="center" shrinkToFit="1"/>
    </xf>
    <xf numFmtId="57" fontId="4" fillId="2" borderId="10" xfId="0" applyNumberFormat="1" applyFont="1" applyFill="1" applyBorder="1" applyAlignment="1" applyProtection="1">
      <alignment horizontal="center" vertical="center" shrinkToFit="1"/>
    </xf>
    <xf numFmtId="57" fontId="4" fillId="2" borderId="11" xfId="0" applyNumberFormat="1" applyFont="1" applyFill="1" applyBorder="1" applyAlignment="1" applyProtection="1">
      <alignment horizontal="center" vertical="center" shrinkToFit="1"/>
    </xf>
    <xf numFmtId="57" fontId="4" fillId="2" borderId="7" xfId="0" applyNumberFormat="1" applyFont="1" applyFill="1" applyBorder="1" applyAlignment="1" applyProtection="1">
      <alignment horizontal="center" vertical="center" shrinkToFit="1"/>
    </xf>
    <xf numFmtId="57" fontId="4" fillId="2" borderId="12" xfId="0" applyNumberFormat="1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176" fontId="16" fillId="2" borderId="8" xfId="2" applyNumberFormat="1" applyFont="1" applyFill="1" applyBorder="1" applyAlignment="1" applyProtection="1">
      <alignment vertical="center" shrinkToFit="1"/>
    </xf>
    <xf numFmtId="176" fontId="16" fillId="2" borderId="9" xfId="2" applyNumberFormat="1" applyFont="1" applyFill="1" applyBorder="1" applyAlignment="1" applyProtection="1">
      <alignment vertical="center" shrinkToFit="1"/>
    </xf>
    <xf numFmtId="176" fontId="16" fillId="2" borderId="10" xfId="2" applyNumberFormat="1" applyFont="1" applyFill="1" applyBorder="1" applyAlignment="1" applyProtection="1">
      <alignment vertical="center" shrinkToFit="1"/>
    </xf>
    <xf numFmtId="176" fontId="16" fillId="2" borderId="11" xfId="2" applyNumberFormat="1" applyFont="1" applyFill="1" applyBorder="1" applyAlignment="1" applyProtection="1">
      <alignment vertical="center" shrinkToFit="1"/>
    </xf>
    <xf numFmtId="176" fontId="16" fillId="2" borderId="7" xfId="2" applyNumberFormat="1" applyFont="1" applyFill="1" applyBorder="1" applyAlignment="1" applyProtection="1">
      <alignment vertical="center" shrinkToFit="1"/>
    </xf>
    <xf numFmtId="176" fontId="16" fillId="2" borderId="12" xfId="2" applyNumberFormat="1" applyFont="1" applyFill="1" applyBorder="1" applyAlignment="1" applyProtection="1">
      <alignment vertical="center" shrinkToFit="1"/>
    </xf>
    <xf numFmtId="41" fontId="16" fillId="0" borderId="27" xfId="2" applyNumberFormat="1" applyFont="1" applyFill="1" applyBorder="1" applyAlignment="1" applyProtection="1">
      <alignment horizontal="center" vertical="center" shrinkToFit="1"/>
    </xf>
    <xf numFmtId="41" fontId="16" fillId="0" borderId="28" xfId="2" applyNumberFormat="1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41" fontId="16" fillId="0" borderId="6" xfId="0" applyNumberFormat="1" applyFont="1" applyFill="1" applyBorder="1" applyAlignment="1" applyProtection="1">
      <alignment horizontal="center" vertical="center" shrinkToFit="1"/>
    </xf>
    <xf numFmtId="41" fontId="16" fillId="0" borderId="4" xfId="0" applyNumberFormat="1" applyFont="1" applyFill="1" applyBorder="1" applyAlignment="1" applyProtection="1">
      <alignment horizontal="center" vertical="center" shrinkToFit="1"/>
    </xf>
    <xf numFmtId="41" fontId="16" fillId="0" borderId="5" xfId="2" applyNumberFormat="1" applyFont="1" applyFill="1" applyBorder="1" applyAlignment="1" applyProtection="1">
      <alignment horizontal="center" vertical="center" shrinkToFit="1"/>
    </xf>
    <xf numFmtId="41" fontId="16" fillId="0" borderId="6" xfId="2" applyNumberFormat="1" applyFont="1" applyFill="1" applyBorder="1" applyAlignment="1" applyProtection="1">
      <alignment horizontal="center" vertical="center" shrinkToFit="1"/>
    </xf>
    <xf numFmtId="41" fontId="16" fillId="0" borderId="4" xfId="2" applyNumberFormat="1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4</xdr:row>
      <xdr:rowOff>9525</xdr:rowOff>
    </xdr:from>
    <xdr:to>
      <xdr:col>29</xdr:col>
      <xdr:colOff>381000</xdr:colOff>
      <xdr:row>14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57725" y="523875"/>
          <a:ext cx="2628900" cy="1466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95249</xdr:colOff>
      <xdr:row>7</xdr:row>
      <xdr:rowOff>123825</xdr:rowOff>
    </xdr:from>
    <xdr:ext cx="2714625" cy="568617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47749" y="1095375"/>
          <a:ext cx="2714625" cy="568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MS UI Gothic"/>
              <a:ea typeface="MS UI Gothic"/>
            </a:rPr>
            <a:t>未申告の場合は軽減対象とはなりません！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MS UI Gothic"/>
              <a:ea typeface="MS UI Gothic"/>
            </a:rPr>
            <a:t>また、修正などで所得金額が増えると軽減対象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MS UI Gothic"/>
              <a:ea typeface="MS UI Gothic"/>
            </a:rPr>
            <a:t>から、除外されることがあります。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54"/>
  <sheetViews>
    <sheetView showGridLines="0" tabSelected="1" view="pageBreakPreview" zoomScaleNormal="100" zoomScaleSheetLayoutView="100" workbookViewId="0">
      <selection activeCell="AD1" sqref="AD1:AT1048576"/>
    </sheetView>
  </sheetViews>
  <sheetFormatPr defaultColWidth="3.125" defaultRowHeight="12"/>
  <cols>
    <col min="1" max="29" width="3.125" style="28" customWidth="1"/>
    <col min="30" max="30" width="5.875" style="28" customWidth="1"/>
    <col min="31" max="31" width="7.5" style="28" hidden="1" customWidth="1"/>
    <col min="32" max="32" width="13.75" style="28" hidden="1" customWidth="1"/>
    <col min="33" max="36" width="3.125" style="28" hidden="1" customWidth="1"/>
    <col min="37" max="37" width="9.25" style="28" hidden="1" customWidth="1"/>
    <col min="38" max="40" width="3.125" style="28" hidden="1" customWidth="1"/>
    <col min="41" max="41" width="12.25" style="28" hidden="1" customWidth="1"/>
    <col min="42" max="42" width="14.25" style="28" hidden="1" customWidth="1"/>
    <col min="43" max="43" width="8" style="28" hidden="1" customWidth="1"/>
    <col min="44" max="44" width="0" style="28" hidden="1" customWidth="1"/>
    <col min="45" max="16384" width="3.125" style="28"/>
  </cols>
  <sheetData>
    <row r="1" spans="1:43" ht="12" customHeight="1">
      <c r="A1" s="27" t="s">
        <v>103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 t="s">
        <v>51</v>
      </c>
      <c r="V1" s="27"/>
      <c r="W1" s="95">
        <f ca="1">TODAY()</f>
        <v>45377</v>
      </c>
      <c r="X1" s="96"/>
      <c r="Y1" s="96"/>
      <c r="Z1" s="96"/>
      <c r="AA1" s="96"/>
      <c r="AB1" s="97"/>
      <c r="AC1" s="27"/>
      <c r="AD1" s="72"/>
      <c r="AE1" s="72"/>
      <c r="AF1" s="72"/>
      <c r="AG1" s="72"/>
      <c r="AH1" s="72"/>
      <c r="AI1" s="72"/>
      <c r="AJ1" s="27"/>
      <c r="AK1" s="27"/>
    </row>
    <row r="2" spans="1:43" ht="4.5" customHeight="1">
      <c r="A2" s="27"/>
      <c r="B2" s="27"/>
      <c r="C2" s="27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43" ht="12" customHeight="1">
      <c r="A3" s="116" t="s">
        <v>106</v>
      </c>
      <c r="B3" s="117"/>
      <c r="C3" s="117"/>
      <c r="D3" s="117"/>
      <c r="E3" s="118"/>
      <c r="F3" s="116" t="s">
        <v>52</v>
      </c>
      <c r="G3" s="117"/>
      <c r="H3" s="117"/>
      <c r="I3" s="117"/>
      <c r="J3" s="86" t="s">
        <v>53</v>
      </c>
      <c r="K3" s="86" t="s">
        <v>54</v>
      </c>
      <c r="L3" s="109"/>
      <c r="M3" s="109"/>
      <c r="N3" s="109"/>
      <c r="O3" s="110"/>
      <c r="P3" s="30"/>
      <c r="Q3" s="30"/>
      <c r="R3" s="30"/>
      <c r="S3" s="30"/>
      <c r="T3" s="30"/>
      <c r="U3" s="30"/>
      <c r="V3" s="30"/>
      <c r="W3" s="30"/>
      <c r="X3" s="27"/>
      <c r="Y3" s="31"/>
      <c r="Z3" s="32"/>
      <c r="AA3" s="32"/>
      <c r="AB3" s="32"/>
      <c r="AC3" s="32"/>
      <c r="AD3" s="32"/>
      <c r="AE3" s="32"/>
      <c r="AF3" s="27"/>
      <c r="AG3" s="27"/>
      <c r="AK3" s="33">
        <v>0</v>
      </c>
      <c r="AL3" s="33" t="s">
        <v>90</v>
      </c>
      <c r="AM3" s="33"/>
      <c r="AN3" s="33">
        <v>0</v>
      </c>
      <c r="AO3" s="81">
        <v>1</v>
      </c>
      <c r="AP3" s="45" t="s">
        <v>97</v>
      </c>
      <c r="AQ3" s="33">
        <v>47400</v>
      </c>
    </row>
    <row r="4" spans="1:43" ht="12" customHeight="1">
      <c r="A4" s="119"/>
      <c r="B4" s="120"/>
      <c r="C4" s="120"/>
      <c r="D4" s="120"/>
      <c r="E4" s="121"/>
      <c r="F4" s="119"/>
      <c r="G4" s="120"/>
      <c r="H4" s="120"/>
      <c r="I4" s="120"/>
      <c r="J4" s="87"/>
      <c r="K4" s="111"/>
      <c r="L4" s="112"/>
      <c r="M4" s="112"/>
      <c r="N4" s="112"/>
      <c r="O4" s="113"/>
      <c r="P4" s="35"/>
      <c r="Q4" s="35"/>
      <c r="R4" s="35"/>
      <c r="S4" s="35"/>
      <c r="T4" s="35"/>
      <c r="U4" s="35"/>
      <c r="V4" s="32"/>
      <c r="W4" s="32"/>
      <c r="X4" s="32"/>
      <c r="Y4" s="32"/>
      <c r="Z4" s="32"/>
      <c r="AA4" s="32"/>
      <c r="AB4" s="27"/>
      <c r="AC4" s="27"/>
      <c r="AD4" s="27"/>
      <c r="AE4" s="27"/>
      <c r="AF4" s="27" t="s">
        <v>55</v>
      </c>
      <c r="AG4" s="27"/>
      <c r="AK4" s="33">
        <v>1</v>
      </c>
      <c r="AL4" s="33" t="s">
        <v>91</v>
      </c>
      <c r="AM4" s="33"/>
      <c r="AN4" s="33">
        <v>2</v>
      </c>
      <c r="AO4" s="81">
        <v>0.8</v>
      </c>
      <c r="AP4" s="28" t="s">
        <v>98</v>
      </c>
      <c r="AQ4" s="33">
        <v>9.2799999999999994</v>
      </c>
    </row>
    <row r="5" spans="1:43" ht="12" customHeight="1">
      <c r="A5" s="136">
        <f>加入者!B3</f>
        <v>0</v>
      </c>
      <c r="B5" s="137"/>
      <c r="C5" s="137"/>
      <c r="D5" s="137"/>
      <c r="E5" s="110" t="str">
        <f>IF(A5&gt;0,"様","　")</f>
        <v>　</v>
      </c>
      <c r="F5" s="140">
        <f>加入者!B6</f>
        <v>0</v>
      </c>
      <c r="G5" s="141"/>
      <c r="H5" s="141"/>
      <c r="I5" s="142"/>
      <c r="J5" s="146" t="str">
        <f>IF(F5&gt;0,DATEDIF(F5,$W$1,"Y")," ")</f>
        <v xml:space="preserve"> </v>
      </c>
      <c r="K5" s="148">
        <f>加入者!D37</f>
        <v>0</v>
      </c>
      <c r="L5" s="149"/>
      <c r="M5" s="149"/>
      <c r="N5" s="149"/>
      <c r="O5" s="150"/>
      <c r="P5" s="27"/>
      <c r="Q5" s="27"/>
      <c r="R5" s="27"/>
      <c r="S5" s="27"/>
      <c r="T5" s="27"/>
      <c r="U5" s="27"/>
      <c r="V5" s="36" t="s">
        <v>56</v>
      </c>
      <c r="W5" s="37"/>
      <c r="X5" s="37"/>
      <c r="Y5" s="37"/>
      <c r="Z5" s="37"/>
      <c r="AA5" s="37"/>
      <c r="AB5" s="27"/>
      <c r="AC5" s="27"/>
      <c r="AD5" s="27"/>
      <c r="AE5" s="27"/>
      <c r="AF5" s="38">
        <f>IF(K5&gt;430000,430000,K5)</f>
        <v>0</v>
      </c>
      <c r="AG5" s="27"/>
      <c r="AK5" s="33">
        <v>2</v>
      </c>
      <c r="AL5" s="33" t="s">
        <v>92</v>
      </c>
      <c r="AM5" s="33"/>
      <c r="AN5" s="33">
        <v>5</v>
      </c>
      <c r="AO5" s="81">
        <v>0.5</v>
      </c>
      <c r="AP5" s="28" t="s">
        <v>109</v>
      </c>
      <c r="AQ5" s="33">
        <v>8.7200000000000006</v>
      </c>
    </row>
    <row r="6" spans="1:43" ht="12" customHeight="1">
      <c r="A6" s="138"/>
      <c r="B6" s="139"/>
      <c r="C6" s="139"/>
      <c r="D6" s="139"/>
      <c r="E6" s="113"/>
      <c r="F6" s="143"/>
      <c r="G6" s="144"/>
      <c r="H6" s="144"/>
      <c r="I6" s="145"/>
      <c r="J6" s="147"/>
      <c r="K6" s="151"/>
      <c r="L6" s="152"/>
      <c r="M6" s="152"/>
      <c r="N6" s="152"/>
      <c r="O6" s="153"/>
      <c r="P6" s="27"/>
      <c r="Q6" s="27"/>
      <c r="R6" s="27"/>
      <c r="S6" s="27"/>
      <c r="T6" s="27"/>
      <c r="U6" s="27"/>
      <c r="V6" s="27"/>
      <c r="W6" s="39" t="s">
        <v>57</v>
      </c>
      <c r="X6" s="37"/>
      <c r="Y6" s="37"/>
      <c r="Z6" s="37"/>
      <c r="AA6" s="37"/>
      <c r="AB6" s="27"/>
      <c r="AC6" s="27"/>
      <c r="AD6" s="27"/>
      <c r="AE6" s="27"/>
      <c r="AF6" s="38"/>
      <c r="AG6" s="27"/>
      <c r="AK6" s="33">
        <v>3</v>
      </c>
      <c r="AL6" s="33" t="s">
        <v>93</v>
      </c>
      <c r="AM6" s="33"/>
      <c r="AN6" s="33">
        <v>7</v>
      </c>
      <c r="AO6" s="81">
        <v>0.3</v>
      </c>
    </row>
    <row r="7" spans="1:43" ht="12" customHeight="1" thickBot="1">
      <c r="A7" s="92"/>
      <c r="B7" s="92"/>
      <c r="C7" s="92"/>
      <c r="D7" s="92"/>
      <c r="E7" s="74"/>
      <c r="F7" s="93"/>
      <c r="G7" s="93"/>
      <c r="H7" s="93"/>
      <c r="I7" s="93"/>
      <c r="J7" s="60"/>
      <c r="K7" s="94"/>
      <c r="L7" s="94"/>
      <c r="M7" s="94"/>
      <c r="N7" s="94"/>
      <c r="O7" s="75"/>
      <c r="P7" s="37"/>
      <c r="Q7" s="37"/>
      <c r="R7" s="37"/>
      <c r="S7" s="37"/>
      <c r="T7" s="37"/>
      <c r="U7" s="37"/>
      <c r="V7" s="27" t="s">
        <v>99</v>
      </c>
      <c r="W7" s="27"/>
      <c r="X7" s="40"/>
      <c r="Y7" s="40"/>
      <c r="Z7" s="41"/>
      <c r="AA7" s="41"/>
      <c r="AB7" s="41"/>
      <c r="AC7" s="41"/>
      <c r="AD7" s="27"/>
      <c r="AE7" s="27"/>
      <c r="AF7" s="38"/>
      <c r="AG7" s="27"/>
      <c r="AH7" s="42" t="s">
        <v>58</v>
      </c>
      <c r="AI7" s="42"/>
      <c r="AJ7" s="134">
        <f>IF(AL7&lt;=0,1,0)</f>
        <v>1</v>
      </c>
      <c r="AK7" s="134"/>
      <c r="AL7" s="133">
        <f>IF($Z$11&gt;0,($AF$24+$Z$11-AK16)-(($AF$20*545000)+430000-100000*($Z$14-1)),($AF$24+$Z$11-AK16)-(($AF$20*545000)+430000)-100000*($Z$14-1))</f>
        <v>-430000</v>
      </c>
      <c r="AM7" s="133"/>
      <c r="AN7" s="133"/>
      <c r="AO7" s="133"/>
    </row>
    <row r="8" spans="1:43" ht="12" customHeight="1">
      <c r="A8" s="90"/>
      <c r="B8" s="90"/>
      <c r="C8" s="90"/>
      <c r="D8" s="90"/>
      <c r="E8" s="73"/>
      <c r="F8" s="91"/>
      <c r="G8" s="91"/>
      <c r="H8" s="91"/>
      <c r="I8" s="91"/>
      <c r="J8" s="78"/>
      <c r="K8" s="89"/>
      <c r="L8" s="89"/>
      <c r="M8" s="89"/>
      <c r="N8" s="89"/>
      <c r="O8" s="55"/>
      <c r="P8" s="27"/>
      <c r="Q8" s="27"/>
      <c r="R8" s="27"/>
      <c r="S8" s="27"/>
      <c r="T8" s="27"/>
      <c r="U8" s="27"/>
      <c r="V8" s="27"/>
      <c r="W8" s="156" t="str">
        <f>VLOOKUP($AK$10,$AK$3:$AL$6,2,TRUE)</f>
        <v>7割軽減</v>
      </c>
      <c r="X8" s="157"/>
      <c r="Y8" s="157"/>
      <c r="Z8" s="157"/>
      <c r="AA8" s="157"/>
      <c r="AB8" s="157"/>
      <c r="AC8" s="158"/>
      <c r="AD8" s="27"/>
      <c r="AE8" s="27"/>
      <c r="AF8" s="38"/>
      <c r="AG8" s="27"/>
      <c r="AH8" s="42" t="s">
        <v>59</v>
      </c>
      <c r="AI8" s="42"/>
      <c r="AJ8" s="134">
        <f>IF(AL8&lt;=0,1,0)</f>
        <v>1</v>
      </c>
      <c r="AK8" s="134"/>
      <c r="AL8" s="133">
        <f>IF($Z$11&gt;0,($AF$24+$Z$11-AK16)-(($AF$20*295000)+430000-100000*($Z$14-1)),($AF$24+$Z$11-AK16)-(($AF$20*295000)+430000)-100000*($Z$14-1))</f>
        <v>-430000</v>
      </c>
      <c r="AM8" s="133"/>
      <c r="AN8" s="133"/>
      <c r="AO8" s="133"/>
    </row>
    <row r="9" spans="1:43" ht="12" customHeight="1" thickBot="1">
      <c r="A9" s="90"/>
      <c r="B9" s="90"/>
      <c r="C9" s="90"/>
      <c r="D9" s="90"/>
      <c r="E9" s="73"/>
      <c r="F9" s="91"/>
      <c r="G9" s="91"/>
      <c r="H9" s="91"/>
      <c r="I9" s="91"/>
      <c r="J9" s="78"/>
      <c r="K9" s="89"/>
      <c r="L9" s="89"/>
      <c r="M9" s="89"/>
      <c r="N9" s="89"/>
      <c r="O9" s="55"/>
      <c r="P9" s="27"/>
      <c r="Q9" s="27"/>
      <c r="R9" s="27"/>
      <c r="S9" s="27"/>
      <c r="T9" s="27"/>
      <c r="U9" s="27"/>
      <c r="V9" s="27"/>
      <c r="W9" s="159"/>
      <c r="X9" s="160"/>
      <c r="Y9" s="160"/>
      <c r="Z9" s="160"/>
      <c r="AA9" s="160"/>
      <c r="AB9" s="160"/>
      <c r="AC9" s="161"/>
      <c r="AD9" s="27"/>
      <c r="AE9" s="27"/>
      <c r="AF9" s="38"/>
      <c r="AG9" s="27"/>
      <c r="AH9" s="42" t="s">
        <v>60</v>
      </c>
      <c r="AI9" s="42"/>
      <c r="AJ9" s="134">
        <f>IF(AL9&lt;=0,1,0)</f>
        <v>1</v>
      </c>
      <c r="AK9" s="134"/>
      <c r="AL9" s="133">
        <f>IF($Z$11&gt;0,($AF$24+$Z$11-AK16)-(430000+100000*($Z$14-1)),($AF$24+$Z$11-AK16)-(430000+100000*($Z$14-1)))</f>
        <v>-430000</v>
      </c>
      <c r="AM9" s="133"/>
      <c r="AN9" s="133"/>
      <c r="AO9" s="133"/>
    </row>
    <row r="10" spans="1:43" ht="12" customHeight="1" thickBot="1">
      <c r="A10" s="90"/>
      <c r="B10" s="90"/>
      <c r="C10" s="90"/>
      <c r="D10" s="90"/>
      <c r="E10" s="73"/>
      <c r="F10" s="91"/>
      <c r="G10" s="91"/>
      <c r="H10" s="91"/>
      <c r="I10" s="91"/>
      <c r="J10" s="78"/>
      <c r="K10" s="89"/>
      <c r="L10" s="89"/>
      <c r="M10" s="89"/>
      <c r="N10" s="89"/>
      <c r="O10" s="55"/>
      <c r="P10" s="27"/>
      <c r="Q10" s="27"/>
      <c r="R10" s="27"/>
      <c r="S10" s="27"/>
      <c r="T10" s="27"/>
      <c r="U10" s="27"/>
      <c r="V10" s="43"/>
      <c r="W10" s="27"/>
      <c r="X10" s="27"/>
      <c r="Y10" s="27"/>
      <c r="Z10" s="27"/>
      <c r="AA10" s="27"/>
      <c r="AB10" s="27"/>
      <c r="AC10" s="27"/>
      <c r="AD10" s="27"/>
      <c r="AE10" s="27"/>
      <c r="AF10" s="38"/>
      <c r="AG10" s="27"/>
      <c r="AK10" s="44">
        <f>SUM(AJ7:AK9)</f>
        <v>3</v>
      </c>
    </row>
    <row r="11" spans="1:43" ht="12.75" thickBot="1">
      <c r="A11" s="27"/>
      <c r="B11" s="46"/>
      <c r="C11" s="46"/>
      <c r="D11" s="27"/>
      <c r="E11" s="27"/>
      <c r="F11" s="88"/>
      <c r="G11" s="88"/>
      <c r="H11" s="88"/>
      <c r="I11" s="88"/>
      <c r="J11" s="88"/>
      <c r="K11" s="89"/>
      <c r="L11" s="89"/>
      <c r="M11" s="89"/>
      <c r="N11" s="89"/>
      <c r="O11" s="37"/>
      <c r="P11" s="47"/>
      <c r="Q11" s="47"/>
      <c r="R11" s="47"/>
      <c r="S11" s="47"/>
      <c r="T11" s="47"/>
      <c r="U11" s="47"/>
      <c r="V11" s="37"/>
      <c r="W11" s="37"/>
      <c r="X11" s="27"/>
      <c r="Y11" s="48" t="s">
        <v>102</v>
      </c>
      <c r="Z11" s="98">
        <f>世帯主!D37</f>
        <v>0</v>
      </c>
      <c r="AA11" s="99"/>
      <c r="AB11" s="99"/>
      <c r="AC11" s="100"/>
      <c r="AD11" s="27"/>
      <c r="AE11" s="27"/>
      <c r="AF11" s="38"/>
      <c r="AG11" s="27"/>
      <c r="AH11" s="28" t="s">
        <v>113</v>
      </c>
    </row>
    <row r="12" spans="1:43">
      <c r="A12" s="27"/>
      <c r="B12" s="46"/>
      <c r="C12" s="46"/>
      <c r="D12" s="27"/>
      <c r="E12" s="27"/>
      <c r="F12" s="49"/>
      <c r="G12" s="49"/>
      <c r="H12" s="49"/>
      <c r="I12" s="49"/>
      <c r="J12" s="50"/>
      <c r="K12" s="89"/>
      <c r="L12" s="89"/>
      <c r="M12" s="89"/>
      <c r="N12" s="89"/>
      <c r="O12" s="51"/>
      <c r="P12" s="51"/>
      <c r="Q12" s="51"/>
      <c r="R12" s="51"/>
      <c r="S12" s="51"/>
      <c r="T12" s="51"/>
      <c r="U12" s="51"/>
      <c r="V12" s="51"/>
      <c r="W12" s="51"/>
      <c r="X12" s="30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43" ht="4.5" customHeight="1" thickBot="1">
      <c r="A13" s="27"/>
      <c r="B13" s="46"/>
      <c r="C13" s="46"/>
      <c r="D13" s="27"/>
      <c r="E13" s="27"/>
      <c r="F13" s="49"/>
      <c r="G13" s="49"/>
      <c r="H13" s="49"/>
      <c r="I13" s="49"/>
      <c r="J13" s="49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27"/>
      <c r="Z13" s="27"/>
      <c r="AA13" s="51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43" ht="12" customHeight="1" thickBot="1">
      <c r="A14" s="27"/>
      <c r="B14" s="46"/>
      <c r="C14" s="46"/>
      <c r="D14" s="27"/>
      <c r="E14" s="27"/>
      <c r="F14" s="30"/>
      <c r="G14" s="30"/>
      <c r="H14" s="30"/>
      <c r="I14" s="30"/>
      <c r="J14" s="30"/>
      <c r="K14" s="30"/>
      <c r="L14" s="30"/>
      <c r="M14" s="30"/>
      <c r="N14" s="30"/>
      <c r="O14" s="106"/>
      <c r="P14" s="106"/>
      <c r="Q14" s="80"/>
      <c r="R14" s="80"/>
      <c r="S14" s="80"/>
      <c r="T14" s="80"/>
      <c r="U14" s="80"/>
      <c r="V14" s="27"/>
      <c r="W14" s="27"/>
      <c r="X14" s="51"/>
      <c r="Y14" s="52" t="s">
        <v>63</v>
      </c>
      <c r="Z14" s="130">
        <f>IF(AF16&gt;0,AF16,1)</f>
        <v>1</v>
      </c>
      <c r="AA14" s="131"/>
      <c r="AB14" s="131"/>
      <c r="AC14" s="132"/>
      <c r="AD14" s="53" t="s">
        <v>62</v>
      </c>
      <c r="AE14" s="27"/>
      <c r="AF14" s="27" t="s">
        <v>63</v>
      </c>
      <c r="AG14" s="27"/>
      <c r="AH14" s="27"/>
      <c r="AI14" s="27"/>
      <c r="AJ14" s="27"/>
      <c r="AK14" s="27" t="s">
        <v>96</v>
      </c>
    </row>
    <row r="15" spans="1:43" ht="4.5" customHeight="1">
      <c r="A15" s="27"/>
      <c r="B15" s="46"/>
      <c r="C15" s="46"/>
      <c r="D15" s="27"/>
      <c r="E15" s="27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7"/>
      <c r="R15" s="27"/>
      <c r="S15" s="27"/>
      <c r="T15" s="27"/>
      <c r="U15" s="27"/>
      <c r="V15" s="27"/>
      <c r="W15" s="27"/>
      <c r="X15" s="27"/>
      <c r="Y15" s="27"/>
      <c r="Z15" s="51"/>
      <c r="AA15" s="27"/>
      <c r="AB15" s="27"/>
      <c r="AC15" s="27"/>
      <c r="AD15" s="27"/>
      <c r="AE15" s="27"/>
      <c r="AF15" s="27"/>
      <c r="AG15" s="27"/>
      <c r="AH15" s="49"/>
      <c r="AI15" s="27"/>
      <c r="AJ15" s="27"/>
      <c r="AK15" s="27"/>
    </row>
    <row r="16" spans="1:43" ht="12" customHeight="1">
      <c r="A16" s="27"/>
      <c r="B16" s="46"/>
      <c r="C16" s="46"/>
      <c r="D16" s="27"/>
      <c r="E16" s="27"/>
      <c r="F16" s="30"/>
      <c r="G16" s="30"/>
      <c r="H16" s="30"/>
      <c r="I16" s="30"/>
      <c r="J16" s="30"/>
      <c r="K16" s="30"/>
      <c r="L16" s="30"/>
      <c r="M16" s="30"/>
      <c r="N16" s="30"/>
      <c r="O16" s="106"/>
      <c r="P16" s="106"/>
      <c r="Q16" s="80"/>
      <c r="R16" s="80"/>
      <c r="S16" s="80"/>
      <c r="T16" s="80"/>
      <c r="U16" s="80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>
        <f>加入者!R31+'被保険者（1人目）'!R31+'被保険者（2人目）'!R31+'被保険者（3人目）'!R31+世帯主!R31</f>
        <v>0</v>
      </c>
      <c r="AG16" s="27"/>
      <c r="AH16" s="49"/>
      <c r="AI16" s="27"/>
      <c r="AJ16" s="27"/>
      <c r="AK16" s="27">
        <f>加入者!E33+'被保険者（1人目）'!E33+'被保険者（2人目）'!E33+'被保険者（3人目）'!E33+世帯主!E33</f>
        <v>0</v>
      </c>
      <c r="AL16" s="54"/>
    </row>
    <row r="17" spans="1:38" ht="9" customHeight="1">
      <c r="A17" s="27"/>
      <c r="B17" s="46"/>
      <c r="C17" s="46"/>
      <c r="D17" s="27"/>
      <c r="E17" s="49"/>
      <c r="F17" s="49"/>
      <c r="G17" s="49"/>
      <c r="H17" s="49"/>
      <c r="I17" s="49"/>
      <c r="J17" s="51"/>
      <c r="K17" s="51"/>
      <c r="L17" s="51"/>
      <c r="M17" s="51"/>
      <c r="N17" s="30"/>
      <c r="O17" s="27"/>
      <c r="P17" s="27"/>
      <c r="Q17" s="27"/>
      <c r="R17" s="27"/>
      <c r="S17" s="27"/>
      <c r="T17" s="27"/>
      <c r="U17" s="27"/>
      <c r="V17" s="51"/>
      <c r="W17" s="27"/>
      <c r="X17" s="27"/>
      <c r="Y17" s="27"/>
      <c r="Z17" s="51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54"/>
    </row>
    <row r="18" spans="1:38">
      <c r="A18" s="107" t="s">
        <v>64</v>
      </c>
      <c r="B18" s="107"/>
      <c r="C18" s="10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 t="s">
        <v>104</v>
      </c>
      <c r="AG18" s="27"/>
      <c r="AH18" s="49"/>
      <c r="AI18" s="27"/>
      <c r="AJ18" s="27"/>
      <c r="AK18" s="27"/>
    </row>
    <row r="19" spans="1:38" ht="3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49"/>
      <c r="AD19" s="27"/>
      <c r="AE19" s="27"/>
      <c r="AF19" s="27"/>
    </row>
    <row r="20" spans="1:38">
      <c r="A20" s="27"/>
      <c r="B20" s="27"/>
      <c r="C20" s="36" t="s">
        <v>65</v>
      </c>
      <c r="D20" s="27"/>
      <c r="E20" s="27"/>
      <c r="F20" s="27"/>
      <c r="G20" s="27"/>
      <c r="H20" s="27"/>
      <c r="I20" s="36" t="s">
        <v>66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0"/>
      <c r="AA20" s="30"/>
      <c r="AB20" s="30"/>
      <c r="AC20" s="49"/>
      <c r="AD20" s="27"/>
      <c r="AE20" s="27"/>
      <c r="AF20" s="77">
        <f>加入者!E35+'被保険者（1人目）'!E35+'被保険者（2人目）'!E35+'被保険者（3人目）'!E35+世帯主!E36</f>
        <v>0</v>
      </c>
      <c r="AG20" s="76"/>
      <c r="AH20" s="76"/>
      <c r="AI20" s="76"/>
    </row>
    <row r="21" spans="1:38">
      <c r="A21" s="101" t="s">
        <v>67</v>
      </c>
      <c r="B21" s="102"/>
      <c r="C21" s="105">
        <f>K5</f>
        <v>0</v>
      </c>
      <c r="D21" s="105"/>
      <c r="E21" s="105"/>
      <c r="F21" s="105"/>
      <c r="G21" s="27" t="s">
        <v>68</v>
      </c>
      <c r="H21" s="27"/>
      <c r="I21" s="105">
        <f>SUM(AF5:AF10)</f>
        <v>0</v>
      </c>
      <c r="J21" s="105"/>
      <c r="K21" s="105"/>
      <c r="L21" s="105"/>
      <c r="M21" s="27" t="s">
        <v>69</v>
      </c>
      <c r="N21" s="27"/>
      <c r="O21" s="108">
        <f>IF(C21-I21&lt;=580000,AQ5,AQ4)</f>
        <v>8.7200000000000006</v>
      </c>
      <c r="P21" s="108"/>
      <c r="Q21" s="27" t="s">
        <v>70</v>
      </c>
      <c r="R21" s="27"/>
      <c r="S21" s="105">
        <f>ROUNDDOWN(IF(C21&lt;=I21,0,(C21-I21)*(O21/100)),0)</f>
        <v>0</v>
      </c>
      <c r="T21" s="105"/>
      <c r="U21" s="105"/>
      <c r="V21" s="105"/>
      <c r="W21" s="27" t="s">
        <v>71</v>
      </c>
      <c r="X21" s="27"/>
      <c r="Y21" s="27"/>
      <c r="Z21" s="30"/>
      <c r="AA21" s="114"/>
      <c r="AB21" s="115"/>
      <c r="AC21" s="115"/>
      <c r="AD21" s="27"/>
      <c r="AE21" s="27"/>
      <c r="AF21" s="56" t="s">
        <v>105</v>
      </c>
      <c r="AG21" s="56"/>
      <c r="AH21" s="56"/>
      <c r="AI21" s="56"/>
    </row>
    <row r="22" spans="1:38" ht="3" customHeight="1">
      <c r="A22" s="52"/>
      <c r="B22" s="5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0"/>
      <c r="AA22" s="30"/>
      <c r="AB22" s="30"/>
      <c r="AC22" s="49"/>
      <c r="AD22" s="27"/>
      <c r="AE22" s="27"/>
      <c r="AF22" s="27"/>
    </row>
    <row r="23" spans="1:38" ht="3" customHeight="1">
      <c r="A23" s="52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0"/>
      <c r="AA23" s="30"/>
      <c r="AB23" s="30"/>
      <c r="AC23" s="30"/>
      <c r="AD23" s="27"/>
      <c r="AE23" s="27"/>
      <c r="AF23" s="27"/>
    </row>
    <row r="24" spans="1:38" ht="12" customHeight="1">
      <c r="A24" s="52"/>
      <c r="B24" s="52"/>
      <c r="C24" s="27"/>
      <c r="D24" s="27"/>
      <c r="E24" s="27"/>
      <c r="F24" s="27"/>
      <c r="G24" s="27"/>
      <c r="H24" s="27"/>
      <c r="I24" s="27"/>
      <c r="J24" s="36"/>
      <c r="K24" s="27"/>
      <c r="L24" s="27"/>
      <c r="M24" s="27"/>
      <c r="N24" s="36" t="s">
        <v>72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30"/>
      <c r="AA24" s="30"/>
      <c r="AB24" s="30"/>
      <c r="AC24" s="30"/>
      <c r="AD24" s="27"/>
      <c r="AE24" s="27"/>
      <c r="AF24" s="27">
        <f>加入者!D37+'被保険者（1人目）'!D37+'被保険者（2人目）'!D37+'被保険者（3人目）'!D37</f>
        <v>0</v>
      </c>
      <c r="AG24" s="57"/>
      <c r="AH24" s="57"/>
      <c r="AI24" s="57"/>
    </row>
    <row r="25" spans="1:38" ht="12" customHeight="1">
      <c r="A25" s="101" t="s">
        <v>73</v>
      </c>
      <c r="B25" s="102"/>
      <c r="C25" s="27"/>
      <c r="D25" s="27"/>
      <c r="E25" s="27"/>
      <c r="F25" s="27"/>
      <c r="G25" s="27"/>
      <c r="H25" s="27"/>
      <c r="I25" s="27"/>
      <c r="J25" s="103"/>
      <c r="K25" s="103"/>
      <c r="L25" s="27"/>
      <c r="M25" s="27"/>
      <c r="N25" s="104">
        <f>AQ3</f>
        <v>47400</v>
      </c>
      <c r="O25" s="104"/>
      <c r="P25" s="104"/>
      <c r="Q25" s="27" t="s">
        <v>74</v>
      </c>
      <c r="R25" s="27"/>
      <c r="S25" s="105">
        <f>N25*VLOOKUP($AK$10,$AK$3:$AO$6,5,TRUE)</f>
        <v>14220</v>
      </c>
      <c r="T25" s="105"/>
      <c r="U25" s="105"/>
      <c r="V25" s="105"/>
      <c r="W25" s="27" t="s">
        <v>71</v>
      </c>
      <c r="X25" s="58" t="s">
        <v>75</v>
      </c>
      <c r="Y25" s="27"/>
      <c r="Z25" s="30"/>
      <c r="AA25" s="114"/>
      <c r="AB25" s="114"/>
      <c r="AC25" s="114"/>
      <c r="AD25" s="27"/>
      <c r="AE25" s="27"/>
      <c r="AF25" s="27"/>
    </row>
    <row r="26" spans="1:38" ht="3" customHeight="1">
      <c r="A26" s="52"/>
      <c r="B26" s="5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I26" s="59"/>
    </row>
    <row r="27" spans="1:38" ht="12" customHeight="1">
      <c r="A27" s="52"/>
      <c r="B27" s="5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30"/>
      <c r="AC27" s="27"/>
      <c r="AD27" s="27"/>
      <c r="AE27" s="27"/>
      <c r="AF27" s="27"/>
      <c r="AI27" s="59"/>
    </row>
    <row r="28" spans="1:38" ht="3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8" ht="1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84"/>
    </row>
    <row r="30" spans="1:38" ht="12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 t="s">
        <v>61</v>
      </c>
      <c r="R30" s="27"/>
      <c r="S30" s="122">
        <f>S21+S25</f>
        <v>14220</v>
      </c>
      <c r="T30" s="162"/>
      <c r="U30" s="162"/>
      <c r="V30" s="163"/>
      <c r="W30" s="27" t="s">
        <v>71</v>
      </c>
      <c r="X30" s="27"/>
      <c r="Y30" s="27"/>
      <c r="Z30" s="27"/>
      <c r="AA30" s="27"/>
      <c r="AB30" s="27"/>
      <c r="AC30" s="27"/>
      <c r="AD30" s="27"/>
      <c r="AE30" s="27"/>
      <c r="AF30" s="27"/>
    </row>
    <row r="31" spans="1:38" ht="3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8" ht="12.75" thickBo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61" t="s">
        <v>76</v>
      </c>
      <c r="T32" s="27"/>
      <c r="U32" s="129">
        <f>IF(F5&lt;$AF$32,AG33,AG34)</f>
        <v>730000</v>
      </c>
      <c r="V32" s="129" t="e">
        <f>IF(#REF!&lt;$AF$29,"R5年度末時点で後期","R6年度以降後期")</f>
        <v>#REF!</v>
      </c>
      <c r="W32" s="129" t="e">
        <f>IF(#REF!&lt;$AF$29,"R5年度末時点で後期","R6年度以降後期")</f>
        <v>#REF!</v>
      </c>
      <c r="X32" s="27" t="s">
        <v>71</v>
      </c>
      <c r="Y32" s="27"/>
      <c r="Z32" s="36" t="s">
        <v>78</v>
      </c>
      <c r="AA32" s="27"/>
      <c r="AB32" s="27"/>
      <c r="AC32" s="27"/>
      <c r="AD32" s="27"/>
      <c r="AE32" s="27"/>
      <c r="AF32" s="85">
        <v>17989</v>
      </c>
      <c r="AG32" s="28" t="s">
        <v>112</v>
      </c>
    </row>
    <row r="33" spans="1:35" ht="12" customHeight="1" thickTop="1" thickBo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164">
        <f>IF(S30&lt;=U32,S30,U32)</f>
        <v>14220</v>
      </c>
      <c r="T33" s="165"/>
      <c r="U33" s="165"/>
      <c r="V33" s="166"/>
      <c r="W33" s="27" t="s">
        <v>71</v>
      </c>
      <c r="X33" s="27" t="s">
        <v>77</v>
      </c>
      <c r="Y33" s="70"/>
      <c r="Z33" s="154">
        <f>ROUNDDOWN(S33,-2)</f>
        <v>14200</v>
      </c>
      <c r="AA33" s="155"/>
      <c r="AB33" s="155"/>
      <c r="AC33" s="155"/>
      <c r="AD33" s="71" t="s">
        <v>71</v>
      </c>
      <c r="AE33" s="27"/>
      <c r="AF33" s="27" t="s">
        <v>111</v>
      </c>
      <c r="AG33" s="135">
        <v>730000</v>
      </c>
      <c r="AH33" s="135"/>
      <c r="AI33" s="135"/>
    </row>
    <row r="34" spans="1:35" ht="12" customHeight="1" thickTop="1">
      <c r="A34" s="30"/>
      <c r="B34" s="30"/>
      <c r="C34" s="30"/>
      <c r="D34" s="30"/>
      <c r="E34" s="30"/>
      <c r="F34" s="79"/>
      <c r="G34" s="103"/>
      <c r="H34" s="128"/>
      <c r="I34" s="128"/>
      <c r="J34" s="128"/>
      <c r="K34" s="30"/>
      <c r="L34" s="27"/>
      <c r="M34" s="27"/>
      <c r="N34" s="27"/>
      <c r="O34" s="27"/>
      <c r="P34" s="27"/>
      <c r="Q34" s="27"/>
      <c r="R34" s="27"/>
      <c r="S34" s="27"/>
      <c r="T34" s="61"/>
      <c r="U34" s="129"/>
      <c r="V34" s="129"/>
      <c r="W34" s="129"/>
      <c r="X34" s="27"/>
      <c r="Y34" s="27"/>
      <c r="Z34" s="27"/>
      <c r="AA34" s="83"/>
      <c r="AB34" s="27"/>
      <c r="AC34" s="27"/>
      <c r="AD34" s="27"/>
      <c r="AE34" s="27"/>
      <c r="AF34" s="27" t="s">
        <v>110</v>
      </c>
      <c r="AG34" s="135">
        <v>800000</v>
      </c>
      <c r="AH34" s="135"/>
      <c r="AI34" s="135"/>
    </row>
    <row r="35" spans="1:35" ht="3" customHeight="1">
      <c r="A35" s="30"/>
      <c r="B35" s="30"/>
      <c r="C35" s="30"/>
      <c r="D35" s="30"/>
      <c r="E35" s="30"/>
      <c r="F35" s="30"/>
      <c r="G35" s="80"/>
      <c r="H35" s="49"/>
      <c r="I35" s="49"/>
      <c r="J35" s="49"/>
      <c r="K35" s="30"/>
      <c r="L35" s="27"/>
      <c r="M35" s="27"/>
      <c r="N35" s="27"/>
      <c r="O35" s="27"/>
      <c r="P35" s="27"/>
      <c r="Q35" s="27"/>
      <c r="R35" s="62"/>
      <c r="S35" s="62"/>
      <c r="T35" s="62"/>
      <c r="U35" s="62"/>
      <c r="V35" s="27"/>
      <c r="W35" s="27"/>
      <c r="X35" s="27"/>
      <c r="Y35" s="37"/>
      <c r="Z35" s="37"/>
      <c r="AA35" s="37"/>
      <c r="AB35" s="37"/>
      <c r="AC35" s="27"/>
      <c r="AD35" s="27"/>
      <c r="AE35" s="30"/>
      <c r="AF35" s="30"/>
    </row>
    <row r="36" spans="1:35" ht="6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0"/>
      <c r="AF36" s="30"/>
      <c r="AG36" s="59"/>
    </row>
    <row r="37" spans="1:35" ht="6" customHeight="1" thickBo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0"/>
      <c r="AF37" s="30"/>
    </row>
    <row r="38" spans="1:35" ht="12" customHeight="1" thickBot="1">
      <c r="A38" s="30"/>
      <c r="B38" s="30" t="s">
        <v>100</v>
      </c>
      <c r="C38" s="30"/>
      <c r="D38" s="30"/>
      <c r="E38" s="30"/>
      <c r="F38" s="30"/>
      <c r="G38" s="30"/>
      <c r="H38" s="30"/>
      <c r="I38" s="30"/>
      <c r="J38" s="30"/>
      <c r="K38" s="30" t="s">
        <v>94</v>
      </c>
      <c r="L38" s="26">
        <v>4</v>
      </c>
      <c r="M38" s="30" t="s">
        <v>101</v>
      </c>
      <c r="N38" s="30"/>
      <c r="O38" s="30"/>
      <c r="P38" s="30"/>
      <c r="Q38" s="30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0"/>
      <c r="AF38" s="30"/>
    </row>
    <row r="39" spans="1:35" ht="12" customHeight="1" thickBo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 t="s">
        <v>79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 t="s">
        <v>80</v>
      </c>
      <c r="Z39" s="27"/>
      <c r="AA39" s="27"/>
      <c r="AB39" s="27"/>
      <c r="AC39" s="27"/>
      <c r="AD39" s="27"/>
      <c r="AE39" s="30"/>
      <c r="AF39" s="30"/>
    </row>
    <row r="40" spans="1:35" ht="12" customHeight="1" thickBot="1">
      <c r="A40" s="27"/>
      <c r="B40" s="27"/>
      <c r="C40" s="122">
        <f>S33</f>
        <v>14220</v>
      </c>
      <c r="D40" s="123"/>
      <c r="E40" s="123"/>
      <c r="F40" s="124"/>
      <c r="G40" s="27" t="s">
        <v>43</v>
      </c>
      <c r="H40" s="63">
        <f>VLOOKUP(L38,AF43:AG54,2)</f>
        <v>12</v>
      </c>
      <c r="I40" s="27" t="s">
        <v>81</v>
      </c>
      <c r="J40" s="27"/>
      <c r="K40" s="27"/>
      <c r="L40" s="27"/>
      <c r="M40" s="27"/>
      <c r="N40" s="125">
        <f>ROUNDDOWN(C40/12*H40,-2)</f>
        <v>14200</v>
      </c>
      <c r="O40" s="126"/>
      <c r="P40" s="126"/>
      <c r="Q40" s="127"/>
      <c r="R40" s="27" t="s">
        <v>71</v>
      </c>
      <c r="S40" s="27"/>
      <c r="T40" s="27"/>
      <c r="U40" s="27"/>
      <c r="V40" s="27"/>
      <c r="W40" s="27"/>
      <c r="X40" s="64" t="s">
        <v>82</v>
      </c>
      <c r="Y40" s="125">
        <f>ROUNDDOWN(C40/12,-2)</f>
        <v>1100</v>
      </c>
      <c r="Z40" s="126"/>
      <c r="AA40" s="126"/>
      <c r="AB40" s="127"/>
      <c r="AC40" s="27" t="s">
        <v>71</v>
      </c>
      <c r="AD40" s="27"/>
      <c r="AE40" s="30"/>
      <c r="AF40" s="30"/>
    </row>
    <row r="41" spans="1:35" ht="6" customHeight="1">
      <c r="A41" s="29"/>
      <c r="B41" s="29"/>
      <c r="C41" s="65"/>
      <c r="D41" s="66"/>
      <c r="E41" s="66"/>
      <c r="F41" s="66"/>
      <c r="G41" s="29"/>
      <c r="H41" s="66" t="s">
        <v>83</v>
      </c>
      <c r="I41" s="29"/>
      <c r="J41" s="29"/>
      <c r="K41" s="29"/>
      <c r="L41" s="29"/>
      <c r="M41" s="29"/>
      <c r="N41" s="65"/>
      <c r="O41" s="66"/>
      <c r="P41" s="66"/>
      <c r="Q41" s="66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30"/>
      <c r="AF41" s="30"/>
    </row>
    <row r="42" spans="1:35" ht="6" customHeight="1">
      <c r="AE42" s="30"/>
      <c r="AF42" s="30"/>
    </row>
    <row r="43" spans="1:35" ht="12" customHeight="1">
      <c r="AE43" s="30"/>
      <c r="AF43" s="67">
        <v>1</v>
      </c>
      <c r="AG43" s="34">
        <v>3</v>
      </c>
      <c r="AH43" s="68"/>
    </row>
    <row r="44" spans="1:35" ht="12" customHeight="1">
      <c r="AE44" s="30"/>
      <c r="AF44" s="67">
        <v>2</v>
      </c>
      <c r="AG44" s="34">
        <v>2</v>
      </c>
      <c r="AH44" s="68"/>
    </row>
    <row r="45" spans="1:35" ht="12" customHeight="1">
      <c r="AE45" s="27"/>
      <c r="AF45" s="67">
        <v>3</v>
      </c>
      <c r="AG45" s="34">
        <v>1</v>
      </c>
      <c r="AH45" s="68"/>
    </row>
    <row r="46" spans="1:35" ht="12" customHeight="1">
      <c r="AE46" s="27"/>
      <c r="AF46" s="67">
        <v>4</v>
      </c>
      <c r="AG46" s="34">
        <v>12</v>
      </c>
      <c r="AH46" s="68"/>
    </row>
    <row r="47" spans="1:35" ht="12" customHeight="1">
      <c r="AE47" s="27"/>
      <c r="AF47" s="67">
        <v>5</v>
      </c>
      <c r="AG47" s="34">
        <v>11</v>
      </c>
      <c r="AH47" s="68"/>
    </row>
    <row r="48" spans="1:35" ht="12" customHeight="1">
      <c r="AF48" s="67">
        <v>6</v>
      </c>
      <c r="AG48" s="34">
        <v>10</v>
      </c>
      <c r="AH48" s="68"/>
    </row>
    <row r="49" spans="32:34">
      <c r="AF49" s="67">
        <v>7</v>
      </c>
      <c r="AG49" s="34">
        <v>9</v>
      </c>
      <c r="AH49" s="69"/>
    </row>
    <row r="50" spans="32:34">
      <c r="AF50" s="67">
        <v>8</v>
      </c>
      <c r="AG50" s="34">
        <v>8</v>
      </c>
    </row>
    <row r="51" spans="32:34">
      <c r="AF51" s="34">
        <v>9</v>
      </c>
      <c r="AG51" s="34">
        <v>7</v>
      </c>
    </row>
    <row r="52" spans="32:34">
      <c r="AF52" s="34">
        <v>10</v>
      </c>
      <c r="AG52" s="34">
        <v>6</v>
      </c>
    </row>
    <row r="53" spans="32:34">
      <c r="AF53" s="34">
        <v>11</v>
      </c>
      <c r="AG53" s="34">
        <v>5</v>
      </c>
    </row>
    <row r="54" spans="32:34">
      <c r="AF54" s="34">
        <v>12</v>
      </c>
      <c r="AG54" s="34">
        <v>4</v>
      </c>
    </row>
  </sheetData>
  <sheetProtection algorithmName="SHA-512" hashValue="RCUe9SrHRbpUhs8JkWxPwbqM2sSYE7XrclQseKxcZJmIm3a26JHIomXVoFCqCH6OxNkAzzuKpjAjqqsJ1ENmlA==" saltValue="sUr3tGeGnLCxcJg4SjmKBw==" spinCount="100000" sheet="1" objects="1" scenarios="1"/>
  <mergeCells count="59">
    <mergeCell ref="AG33:AI33"/>
    <mergeCell ref="AG34:AI34"/>
    <mergeCell ref="K10:N10"/>
    <mergeCell ref="A5:D6"/>
    <mergeCell ref="E5:E6"/>
    <mergeCell ref="F5:I6"/>
    <mergeCell ref="J5:J6"/>
    <mergeCell ref="K5:O6"/>
    <mergeCell ref="AA25:AC25"/>
    <mergeCell ref="K12:N12"/>
    <mergeCell ref="O14:P14"/>
    <mergeCell ref="Z33:AC33"/>
    <mergeCell ref="W8:AC9"/>
    <mergeCell ref="S30:V30"/>
    <mergeCell ref="U32:W32"/>
    <mergeCell ref="S33:V33"/>
    <mergeCell ref="S21:V21"/>
    <mergeCell ref="Z14:AC14"/>
    <mergeCell ref="AL7:AO7"/>
    <mergeCell ref="AJ8:AK8"/>
    <mergeCell ref="AL8:AO8"/>
    <mergeCell ref="AJ9:AK9"/>
    <mergeCell ref="AL9:AO9"/>
    <mergeCell ref="AJ7:AK7"/>
    <mergeCell ref="C40:F40"/>
    <mergeCell ref="N40:Q40"/>
    <mergeCell ref="Y40:AB40"/>
    <mergeCell ref="G34:J34"/>
    <mergeCell ref="U34:W34"/>
    <mergeCell ref="W1:AB1"/>
    <mergeCell ref="Z11:AC11"/>
    <mergeCell ref="A25:B25"/>
    <mergeCell ref="J25:K25"/>
    <mergeCell ref="N25:P25"/>
    <mergeCell ref="S25:V25"/>
    <mergeCell ref="O16:P16"/>
    <mergeCell ref="A18:C18"/>
    <mergeCell ref="A21:B21"/>
    <mergeCell ref="C21:F21"/>
    <mergeCell ref="I21:L21"/>
    <mergeCell ref="O21:P21"/>
    <mergeCell ref="K3:O4"/>
    <mergeCell ref="AA21:AC21"/>
    <mergeCell ref="A3:E4"/>
    <mergeCell ref="F3:I4"/>
    <mergeCell ref="J3:J4"/>
    <mergeCell ref="F11:J11"/>
    <mergeCell ref="K11:N11"/>
    <mergeCell ref="A8:D8"/>
    <mergeCell ref="F8:I8"/>
    <mergeCell ref="K8:N8"/>
    <mergeCell ref="A7:D7"/>
    <mergeCell ref="A9:D9"/>
    <mergeCell ref="F9:I9"/>
    <mergeCell ref="K9:N9"/>
    <mergeCell ref="A10:D10"/>
    <mergeCell ref="F10:I10"/>
    <mergeCell ref="F7:I7"/>
    <mergeCell ref="K7:N7"/>
  </mergeCells>
  <phoneticPr fontId="2"/>
  <dataValidations count="2">
    <dataValidation allowBlank="1" showDropDown="1" showInputMessage="1" showErrorMessage="1" sqref="A10:D10"/>
    <dataValidation type="list" allowBlank="1" showInputMessage="1" showErrorMessage="1" sqref="L38">
      <formula1>$AF$43:$AF$54</formula1>
    </dataValidation>
  </dataValidations>
  <pageMargins left="0.7" right="0.7" top="0.75" bottom="0.75" header="0.3" footer="0.3"/>
  <pageSetup paperSize="9" scale="83" orientation="portrait" r:id="rId1"/>
  <colBreaks count="1" manualBreakCount="1">
    <brk id="3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37"/>
  <sheetViews>
    <sheetView showGridLines="0" view="pageBreakPreview" zoomScaleNormal="100" zoomScaleSheetLayoutView="100" workbookViewId="0">
      <selection activeCell="C7" sqref="C7"/>
    </sheetView>
  </sheetViews>
  <sheetFormatPr defaultRowHeight="13.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/>
    <row r="2" spans="2:19">
      <c r="B2" s="1" t="s">
        <v>84</v>
      </c>
      <c r="E2" s="1" t="s">
        <v>29</v>
      </c>
      <c r="G2" s="1" t="s">
        <v>34</v>
      </c>
      <c r="Q2" s="1" t="s">
        <v>31</v>
      </c>
    </row>
    <row r="3" spans="2:19">
      <c r="B3" s="23"/>
      <c r="E3" s="3">
        <v>45292</v>
      </c>
      <c r="G3" s="4">
        <f>IF(B10&lt;=10000000,B10,10000000)</f>
        <v>0</v>
      </c>
      <c r="Q3" s="1" t="s">
        <v>44</v>
      </c>
    </row>
    <row r="4" spans="2:19">
      <c r="E4" s="5"/>
      <c r="G4" s="6"/>
    </row>
    <row r="5" spans="2:19">
      <c r="B5" s="1" t="s">
        <v>85</v>
      </c>
      <c r="C5" s="1" t="s">
        <v>108</v>
      </c>
      <c r="E5" s="7" t="s">
        <v>32</v>
      </c>
      <c r="F5" s="7" t="s">
        <v>33</v>
      </c>
      <c r="G5" s="6"/>
    </row>
    <row r="6" spans="2:19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>
      <c r="B7" s="22" t="s">
        <v>107</v>
      </c>
      <c r="C7" s="21"/>
      <c r="E7" s="5"/>
      <c r="G7" s="6"/>
    </row>
    <row r="8" spans="2:19">
      <c r="E8" s="1" t="s">
        <v>38</v>
      </c>
      <c r="G8" s="6"/>
    </row>
    <row r="9" spans="2:19">
      <c r="B9" s="1" t="s">
        <v>86</v>
      </c>
      <c r="E9" s="11">
        <f>VLOOKUP(B10,F12:I23,2,TRUE)*VLOOKUP(B10,F12:I23,3,TRUE)-VLOOKUP(B10,F12:I23,4,TRUE)</f>
        <v>0</v>
      </c>
      <c r="G9" s="6"/>
      <c r="R9" s="1" t="s">
        <v>88</v>
      </c>
    </row>
    <row r="10" spans="2:19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>
      <c r="B14" s="7" t="s">
        <v>87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88</v>
      </c>
    </row>
    <row r="26" spans="2:19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>
      <c r="B29" s="1" t="s">
        <v>24</v>
      </c>
      <c r="D29" s="18"/>
    </row>
    <row r="30" spans="2:19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95</v>
      </c>
      <c r="R30" s="1" t="s">
        <v>89</v>
      </c>
    </row>
    <row r="31" spans="2:19">
      <c r="E31" s="1">
        <f>IF(C6&gt;64,B30,0)</f>
        <v>0</v>
      </c>
      <c r="R31" s="1">
        <f>IF(S10+S26&gt;=1,1,0)</f>
        <v>0</v>
      </c>
    </row>
    <row r="32" spans="2:19">
      <c r="E32" s="1">
        <f>IF(E31&lt;150000,E31,150000)</f>
        <v>0</v>
      </c>
    </row>
    <row r="33" spans="2:5">
      <c r="B33" s="1" t="s">
        <v>50</v>
      </c>
      <c r="E33" s="1">
        <f>IF(E32&gt;0,E32,0)</f>
        <v>0</v>
      </c>
    </row>
    <row r="34" spans="2:5">
      <c r="B34" s="24"/>
      <c r="C34" s="1" t="s">
        <v>16</v>
      </c>
    </row>
    <row r="35" spans="2:5">
      <c r="B35" s="1" t="s">
        <v>41</v>
      </c>
      <c r="E35" s="1">
        <f>IF(B6&gt;0,1,0)</f>
        <v>0</v>
      </c>
    </row>
    <row r="36" spans="2:5">
      <c r="D36" s="1" t="s">
        <v>40</v>
      </c>
    </row>
    <row r="37" spans="2:5">
      <c r="D37" s="11">
        <f>IF(B22+B30+B34&lt;0,0,B22+B30+B34)</f>
        <v>0</v>
      </c>
    </row>
  </sheetData>
  <sheetProtection algorithmName="SHA-512" hashValue="W36X/csGTOsyePo+xQwFDNIhcBJwAqNniYhZ8qG4GpUPpbccsO9qoSC9Cq+Eauk0GEpW/w1ICm11Xhh41IvsRw==" saltValue="yP6eUz34ZroEmiDzExlsbw==" spinCount="100000" sheet="1" objects="1" scenarios="1"/>
  <phoneticPr fontId="2"/>
  <dataValidations count="1">
    <dataValidation type="list" allowBlank="1" showInputMessage="1" showErrorMessage="1" sqref="B18">
      <formula1>$Q$2:$Q$4</formula1>
    </dataValidation>
  </dataValidations>
  <pageMargins left="0.7" right="0.7" top="0.75" bottom="0.75" header="0.3" footer="0.3"/>
  <pageSetup paperSize="9" scale="84" fitToHeight="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37"/>
  <sheetViews>
    <sheetView showGridLines="0" view="pageBreakPreview" topLeftCell="A19" zoomScaleNormal="100" zoomScaleSheetLayoutView="100" workbookViewId="0">
      <selection activeCell="B29" sqref="B29"/>
    </sheetView>
  </sheetViews>
  <sheetFormatPr defaultRowHeight="13.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/>
    <row r="2" spans="2:19">
      <c r="B2" s="1" t="s">
        <v>84</v>
      </c>
      <c r="E2" s="1" t="s">
        <v>29</v>
      </c>
      <c r="G2" s="1" t="s">
        <v>34</v>
      </c>
      <c r="Q2" s="1" t="s">
        <v>31</v>
      </c>
    </row>
    <row r="3" spans="2:19">
      <c r="B3" s="23"/>
      <c r="E3" s="3">
        <v>45292</v>
      </c>
      <c r="G3" s="4">
        <f>IF(B10&lt;=10000000,B10,10000000)</f>
        <v>0</v>
      </c>
      <c r="Q3" s="1" t="s">
        <v>44</v>
      </c>
    </row>
    <row r="4" spans="2:19">
      <c r="E4" s="5"/>
      <c r="G4" s="6"/>
    </row>
    <row r="5" spans="2:19">
      <c r="B5" s="1" t="s">
        <v>85</v>
      </c>
      <c r="C5" s="1" t="s">
        <v>108</v>
      </c>
      <c r="E5" s="7" t="s">
        <v>32</v>
      </c>
      <c r="F5" s="7" t="s">
        <v>33</v>
      </c>
      <c r="G5" s="6"/>
    </row>
    <row r="6" spans="2:19">
      <c r="B6" s="23"/>
      <c r="C6" s="2" t="str">
        <f>IF($B$6&gt;0,DATEDIF($B$6,E3,"Y"),"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>
      <c r="B7" s="22" t="s">
        <v>107</v>
      </c>
      <c r="C7" s="21"/>
      <c r="E7" s="5"/>
      <c r="G7" s="6"/>
    </row>
    <row r="8" spans="2:19">
      <c r="E8" s="1" t="s">
        <v>38</v>
      </c>
      <c r="G8" s="6"/>
    </row>
    <row r="9" spans="2:19">
      <c r="B9" s="1" t="s">
        <v>86</v>
      </c>
      <c r="E9" s="11">
        <f>VLOOKUP(B10,F12:I23,2,TRUE)*VLOOKUP(B10,F12:I23,3,TRUE)-VLOOKUP(B10,F12:I23,4,TRUE)</f>
        <v>0</v>
      </c>
      <c r="G9" s="6"/>
      <c r="R9" s="1" t="s">
        <v>88</v>
      </c>
    </row>
    <row r="10" spans="2:19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>
      <c r="B14" s="7" t="s">
        <v>87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88</v>
      </c>
    </row>
    <row r="26" spans="2:19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>
      <c r="B29" s="1" t="s">
        <v>24</v>
      </c>
      <c r="D29" s="18"/>
    </row>
    <row r="30" spans="2:19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95</v>
      </c>
      <c r="R30" s="1" t="s">
        <v>89</v>
      </c>
    </row>
    <row r="31" spans="2:19">
      <c r="E31" s="1">
        <f>IF(C6&gt;64,B30,0)</f>
        <v>0</v>
      </c>
      <c r="R31" s="1">
        <f>IF(S10+S26&gt;=1,1,0)</f>
        <v>0</v>
      </c>
    </row>
    <row r="32" spans="2:19">
      <c r="E32" s="1">
        <f>IF(E31&lt;150000,E31,150000)</f>
        <v>0</v>
      </c>
    </row>
    <row r="33" spans="2:6">
      <c r="B33" s="1" t="s">
        <v>50</v>
      </c>
      <c r="E33" s="1">
        <f>IF(E32&gt;0,E32,0)</f>
        <v>0</v>
      </c>
    </row>
    <row r="34" spans="2:6">
      <c r="B34" s="24"/>
      <c r="C34" s="1" t="s">
        <v>16</v>
      </c>
      <c r="F34" s="1" t="s">
        <v>29</v>
      </c>
    </row>
    <row r="35" spans="2:6">
      <c r="B35" s="1" t="s">
        <v>41</v>
      </c>
      <c r="E35" s="1">
        <f>IF(B6&gt;0,1,0)</f>
        <v>0</v>
      </c>
      <c r="F35" s="82">
        <v>44287</v>
      </c>
    </row>
    <row r="36" spans="2:6">
      <c r="D36" s="1" t="s">
        <v>40</v>
      </c>
      <c r="E36" s="1">
        <f>IF(F36&gt;=75,E35,0)</f>
        <v>0</v>
      </c>
      <c r="F36" s="2" t="str">
        <f>IF($B$6&gt;0,DATEDIF($B$6,F35,"Y")," ")</f>
        <v xml:space="preserve"> </v>
      </c>
    </row>
    <row r="37" spans="2:6">
      <c r="D37" s="11">
        <f>IF(B22+B30+B34&lt;0,0,B22+B30+B34)</f>
        <v>0</v>
      </c>
    </row>
  </sheetData>
  <sheetProtection algorithmName="SHA-512" hashValue="jlKaVVrXX9e/TwLIgA3RYcqeszWhg2qTpQ4heP8moc11jpqQE7FB4UJ/nWLwi2LMVCFWfATqXyRrZ8ouRcskQQ==" saltValue="7cWp4Ihaqwh0893zO4FF/Q==" spinCount="100000" sheet="1" objects="1" scenarios="1"/>
  <phoneticPr fontId="2"/>
  <dataValidations count="1">
    <dataValidation type="list" allowBlank="1" showInputMessage="1" showErrorMessage="1" sqref="B18">
      <formula1>$Q$2:$Q$4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37"/>
  <sheetViews>
    <sheetView showGridLines="0" view="pageBreakPreview" zoomScaleNormal="100" zoomScaleSheetLayoutView="100" workbookViewId="0">
      <selection activeCell="B6" sqref="B6"/>
    </sheetView>
  </sheetViews>
  <sheetFormatPr defaultRowHeight="13.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/>
    <row r="2" spans="2:19">
      <c r="B2" s="1" t="s">
        <v>84</v>
      </c>
      <c r="E2" s="1" t="s">
        <v>29</v>
      </c>
      <c r="G2" s="1" t="s">
        <v>34</v>
      </c>
      <c r="Q2" s="1" t="s">
        <v>31</v>
      </c>
    </row>
    <row r="3" spans="2:19">
      <c r="B3" s="23"/>
      <c r="E3" s="3">
        <v>45292</v>
      </c>
      <c r="G3" s="4">
        <f>IF(B10&lt;=10000000,B10,10000000)</f>
        <v>0</v>
      </c>
      <c r="Q3" s="1" t="s">
        <v>44</v>
      </c>
    </row>
    <row r="4" spans="2:19">
      <c r="E4" s="5"/>
      <c r="G4" s="6"/>
    </row>
    <row r="5" spans="2:19">
      <c r="B5" s="1" t="s">
        <v>85</v>
      </c>
      <c r="C5" s="1" t="s">
        <v>108</v>
      </c>
      <c r="E5" s="7" t="s">
        <v>32</v>
      </c>
      <c r="F5" s="7" t="s">
        <v>33</v>
      </c>
      <c r="G5" s="6"/>
    </row>
    <row r="6" spans="2:19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>
      <c r="B7" s="22" t="s">
        <v>107</v>
      </c>
      <c r="C7" s="21"/>
      <c r="E7" s="5"/>
      <c r="G7" s="6"/>
    </row>
    <row r="8" spans="2:19">
      <c r="E8" s="1" t="s">
        <v>38</v>
      </c>
      <c r="G8" s="6"/>
    </row>
    <row r="9" spans="2:19">
      <c r="B9" s="1" t="s">
        <v>86</v>
      </c>
      <c r="E9" s="11">
        <f>VLOOKUP(B10,F12:I23,2,TRUE)*VLOOKUP(B10,F12:I23,3,TRUE)-VLOOKUP(B10,F12:I23,4,TRUE)</f>
        <v>0</v>
      </c>
      <c r="G9" s="6"/>
      <c r="R9" s="1" t="s">
        <v>88</v>
      </c>
    </row>
    <row r="10" spans="2:19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>
      <c r="B14" s="7" t="s">
        <v>87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88</v>
      </c>
    </row>
    <row r="26" spans="2:19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>
      <c r="B29" s="1" t="s">
        <v>24</v>
      </c>
      <c r="D29" s="18"/>
    </row>
    <row r="30" spans="2:19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95</v>
      </c>
      <c r="R30" s="1" t="s">
        <v>89</v>
      </c>
    </row>
    <row r="31" spans="2:19">
      <c r="E31" s="1">
        <f>IF(C6&gt;64,B30,0)</f>
        <v>0</v>
      </c>
      <c r="R31" s="1">
        <f>IF(S10+S26&gt;=1,1,0)</f>
        <v>0</v>
      </c>
    </row>
    <row r="32" spans="2:19">
      <c r="E32" s="1">
        <f>IF(E31&lt;150000,E31,150000)</f>
        <v>0</v>
      </c>
    </row>
    <row r="33" spans="2:5">
      <c r="B33" s="1" t="s">
        <v>50</v>
      </c>
      <c r="E33" s="1">
        <f>IF(E32&gt;0,E32,0)</f>
        <v>0</v>
      </c>
    </row>
    <row r="34" spans="2:5">
      <c r="B34" s="24"/>
      <c r="C34" s="1" t="s">
        <v>16</v>
      </c>
    </row>
    <row r="35" spans="2:5">
      <c r="B35" s="1" t="s">
        <v>41</v>
      </c>
      <c r="E35" s="1">
        <f>IF(B6&gt;0,1,0)</f>
        <v>0</v>
      </c>
    </row>
    <row r="36" spans="2:5">
      <c r="D36" s="1" t="s">
        <v>40</v>
      </c>
    </row>
    <row r="37" spans="2:5">
      <c r="D37" s="11">
        <f>IF(B22+B30+B34&lt;0,0,B22+B30+B34)</f>
        <v>0</v>
      </c>
    </row>
  </sheetData>
  <sheetProtection algorithmName="SHA-512" hashValue="4FBOqWaRuWENdimX/gXeIFGbCKGeBCZldpPWDdCwjWM69irs2mnzhzqXnx+MNi68VomAScRx58bEGi82qGjqKA==" saltValue="aZnw51DwlHKfqwgAA22o6w==" spinCount="100000" sheet="1" objects="1" scenarios="1"/>
  <phoneticPr fontId="2"/>
  <dataValidations count="1">
    <dataValidation type="list" allowBlank="1" showInputMessage="1" showErrorMessage="1" sqref="B18">
      <formula1>$Q$2:$Q$4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37"/>
  <sheetViews>
    <sheetView showGridLines="0" view="pageBreakPreview" topLeftCell="A4" zoomScaleNormal="100" zoomScaleSheetLayoutView="100" workbookViewId="0">
      <selection activeCell="B6" sqref="B6"/>
    </sheetView>
  </sheetViews>
  <sheetFormatPr defaultRowHeight="13.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/>
    <row r="2" spans="2:19">
      <c r="B2" s="1" t="s">
        <v>84</v>
      </c>
      <c r="E2" s="1" t="s">
        <v>29</v>
      </c>
      <c r="G2" s="1" t="s">
        <v>34</v>
      </c>
      <c r="Q2" s="1" t="s">
        <v>31</v>
      </c>
    </row>
    <row r="3" spans="2:19">
      <c r="B3" s="23"/>
      <c r="E3" s="3">
        <v>45292</v>
      </c>
      <c r="G3" s="4">
        <f>IF(B10&lt;=10000000,B10,10000000)</f>
        <v>0</v>
      </c>
      <c r="Q3" s="1" t="s">
        <v>44</v>
      </c>
    </row>
    <row r="4" spans="2:19">
      <c r="E4" s="5"/>
      <c r="G4" s="6"/>
    </row>
    <row r="5" spans="2:19">
      <c r="B5" s="1" t="s">
        <v>85</v>
      </c>
      <c r="C5" s="1" t="s">
        <v>108</v>
      </c>
      <c r="E5" s="7" t="s">
        <v>32</v>
      </c>
      <c r="F5" s="7" t="s">
        <v>33</v>
      </c>
      <c r="G5" s="6"/>
    </row>
    <row r="6" spans="2:19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>
      <c r="B7" s="22" t="s">
        <v>107</v>
      </c>
      <c r="C7" s="21"/>
      <c r="E7" s="5"/>
      <c r="G7" s="6"/>
    </row>
    <row r="8" spans="2:19">
      <c r="E8" s="1" t="s">
        <v>38</v>
      </c>
      <c r="G8" s="6"/>
    </row>
    <row r="9" spans="2:19">
      <c r="B9" s="1" t="s">
        <v>86</v>
      </c>
      <c r="E9" s="11">
        <f>VLOOKUP(B10,F12:I23,2,TRUE)*VLOOKUP(B10,F12:I23,3,TRUE)-VLOOKUP(B10,F12:I23,4,TRUE)</f>
        <v>0</v>
      </c>
      <c r="G9" s="6"/>
      <c r="R9" s="1" t="s">
        <v>88</v>
      </c>
    </row>
    <row r="10" spans="2:19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>
      <c r="B14" s="7" t="s">
        <v>87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88</v>
      </c>
    </row>
    <row r="26" spans="2:19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>
      <c r="B29" s="1" t="s">
        <v>24</v>
      </c>
      <c r="D29" s="18"/>
    </row>
    <row r="30" spans="2:19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95</v>
      </c>
      <c r="R30" s="1" t="s">
        <v>89</v>
      </c>
    </row>
    <row r="31" spans="2:19">
      <c r="E31" s="1">
        <f>IF(C6&gt;64,B30,0)</f>
        <v>0</v>
      </c>
      <c r="R31" s="1">
        <f>IF(S10+S26&gt;=1,1,0)</f>
        <v>0</v>
      </c>
    </row>
    <row r="32" spans="2:19">
      <c r="E32" s="1">
        <f>IF(E31&lt;150000,E31,150000)</f>
        <v>0</v>
      </c>
    </row>
    <row r="33" spans="2:5">
      <c r="B33" s="1" t="s">
        <v>50</v>
      </c>
      <c r="E33" s="1">
        <f>IF(E32&gt;0,E32,0)</f>
        <v>0</v>
      </c>
    </row>
    <row r="34" spans="2:5">
      <c r="B34" s="24"/>
      <c r="C34" s="1" t="s">
        <v>16</v>
      </c>
    </row>
    <row r="35" spans="2:5">
      <c r="B35" s="1" t="s">
        <v>41</v>
      </c>
      <c r="E35" s="1">
        <f>IF(B6&gt;0,1,0)</f>
        <v>0</v>
      </c>
    </row>
    <row r="36" spans="2:5">
      <c r="D36" s="1" t="s">
        <v>40</v>
      </c>
    </row>
    <row r="37" spans="2:5">
      <c r="D37" s="11">
        <f>IF(B22+B30+B34&lt;0,0,B22+B30+B34)</f>
        <v>0</v>
      </c>
    </row>
  </sheetData>
  <sheetProtection algorithmName="SHA-512" hashValue="CClE8owY77ers+j2bnCkEd86q+lhGikebd18yA4w5rIsIZ9LRL4p/BHGPUGWeKL364lSHg7H4YCQXojFZF/yJw==" saltValue="7/11FzV06Zse9PVB1AsFFg==" spinCount="100000" sheet="1" objects="1" scenarios="1"/>
  <phoneticPr fontId="2"/>
  <dataValidations count="1">
    <dataValidation type="list" allowBlank="1" showInputMessage="1" showErrorMessage="1" sqref="B18">
      <formula1>$Q$2:$Q$4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37"/>
  <sheetViews>
    <sheetView showGridLines="0" view="pageBreakPreview" topLeftCell="A7" zoomScaleNormal="100" zoomScaleSheetLayoutView="100" workbookViewId="0">
      <selection activeCell="B6" sqref="B6"/>
    </sheetView>
  </sheetViews>
  <sheetFormatPr defaultRowHeight="13.5"/>
  <cols>
    <col min="1" max="1" width="9" style="1"/>
    <col min="2" max="2" width="20.5" style="1" customWidth="1"/>
    <col min="3" max="3" width="20.25" style="1" customWidth="1"/>
    <col min="4" max="4" width="28" style="1" customWidth="1"/>
    <col min="5" max="5" width="20.5" style="1" hidden="1" customWidth="1"/>
    <col min="6" max="6" width="11.625" style="1" hidden="1" customWidth="1"/>
    <col min="7" max="7" width="15.875" style="1" hidden="1" customWidth="1"/>
    <col min="8" max="8" width="5.375" style="1" hidden="1" customWidth="1"/>
    <col min="9" max="9" width="15.875" style="1" hidden="1" customWidth="1"/>
    <col min="10" max="10" width="9" style="1" hidden="1" customWidth="1"/>
    <col min="11" max="11" width="20.375" style="1" hidden="1" customWidth="1"/>
    <col min="12" max="12" width="13.875" style="1" hidden="1" customWidth="1"/>
    <col min="13" max="13" width="12.75" style="1" hidden="1" customWidth="1"/>
    <col min="14" max="14" width="5.375" style="1" hidden="1" customWidth="1"/>
    <col min="15" max="15" width="14.375" style="1" hidden="1" customWidth="1"/>
    <col min="16" max="17" width="9" style="1" hidden="1" customWidth="1"/>
    <col min="18" max="18" width="10.875" style="1" hidden="1" customWidth="1"/>
    <col min="19" max="19" width="9" style="1" hidden="1" customWidth="1"/>
    <col min="20" max="16384" width="9" style="1"/>
  </cols>
  <sheetData>
    <row r="1" spans="2:19" ht="18.75" customHeight="1"/>
    <row r="2" spans="2:19">
      <c r="B2" s="1" t="s">
        <v>84</v>
      </c>
      <c r="E2" s="1" t="s">
        <v>29</v>
      </c>
      <c r="G2" s="1" t="s">
        <v>34</v>
      </c>
      <c r="Q2" s="1" t="s">
        <v>31</v>
      </c>
    </row>
    <row r="3" spans="2:19">
      <c r="B3" s="23"/>
      <c r="E3" s="3">
        <v>45292</v>
      </c>
      <c r="G3" s="4">
        <f>IF(B10&lt;=10000000,B10,10000000)</f>
        <v>0</v>
      </c>
      <c r="Q3" s="1" t="s">
        <v>44</v>
      </c>
    </row>
    <row r="4" spans="2:19">
      <c r="E4" s="5"/>
      <c r="G4" s="6"/>
    </row>
    <row r="5" spans="2:19">
      <c r="B5" s="1" t="s">
        <v>85</v>
      </c>
      <c r="C5" s="1" t="s">
        <v>108</v>
      </c>
      <c r="E5" s="7" t="s">
        <v>32</v>
      </c>
      <c r="F5" s="7" t="s">
        <v>33</v>
      </c>
      <c r="G5" s="6"/>
    </row>
    <row r="6" spans="2:19">
      <c r="B6" s="23"/>
      <c r="C6" s="2" t="str">
        <f>IF(B6&gt;0,DATEDIF(B6,E3,"Y")," ")</f>
        <v xml:space="preserve"> </v>
      </c>
      <c r="E6" s="11">
        <f>IF(B18="〇",(G3-8500000)*0.1,0)</f>
        <v>0</v>
      </c>
      <c r="F6" s="11">
        <f>IF(E26+E27&gt;100000,E26+E27-100000,0)</f>
        <v>0</v>
      </c>
      <c r="G6" s="6"/>
    </row>
    <row r="7" spans="2:19">
      <c r="B7" s="22" t="s">
        <v>107</v>
      </c>
      <c r="C7" s="21"/>
      <c r="E7" s="5"/>
      <c r="G7" s="6"/>
    </row>
    <row r="8" spans="2:19">
      <c r="E8" s="1" t="s">
        <v>38</v>
      </c>
      <c r="G8" s="6"/>
    </row>
    <row r="9" spans="2:19">
      <c r="B9" s="1" t="s">
        <v>86</v>
      </c>
      <c r="E9" s="11">
        <f>VLOOKUP(B10,F12:I23,2,TRUE)*VLOOKUP(B10,F12:I23,3,TRUE)-VLOOKUP(B10,F12:I23,4,TRUE)</f>
        <v>0</v>
      </c>
      <c r="G9" s="6"/>
      <c r="R9" s="1" t="s">
        <v>88</v>
      </c>
    </row>
    <row r="10" spans="2:19">
      <c r="B10" s="24"/>
      <c r="C10" s="1" t="s">
        <v>16</v>
      </c>
      <c r="K10" s="1" t="s">
        <v>30</v>
      </c>
      <c r="R10" s="1" t="str">
        <f>IF(B10&gt;550000,"〇","×")</f>
        <v>×</v>
      </c>
      <c r="S10" s="1">
        <f>IF(R10="〇",1,0)</f>
        <v>0</v>
      </c>
    </row>
    <row r="11" spans="2:19">
      <c r="B11" s="20"/>
      <c r="E11" s="9" t="s">
        <v>1</v>
      </c>
      <c r="F11" s="9" t="s">
        <v>2</v>
      </c>
      <c r="G11" s="9" t="s">
        <v>15</v>
      </c>
      <c r="H11" s="9" t="s">
        <v>5</v>
      </c>
      <c r="I11" s="9" t="s">
        <v>0</v>
      </c>
      <c r="K11" s="9" t="s">
        <v>17</v>
      </c>
      <c r="L11" s="9" t="s">
        <v>2</v>
      </c>
      <c r="M11" s="9" t="s">
        <v>15</v>
      </c>
      <c r="N11" s="9" t="s">
        <v>5</v>
      </c>
      <c r="O11" s="9" t="s">
        <v>0</v>
      </c>
    </row>
    <row r="12" spans="2:19">
      <c r="B12" s="7" t="s">
        <v>42</v>
      </c>
      <c r="E12" s="9" t="s">
        <v>3</v>
      </c>
      <c r="F12" s="10">
        <v>0</v>
      </c>
      <c r="G12" s="4">
        <f>B10</f>
        <v>0</v>
      </c>
      <c r="H12" s="9">
        <v>1</v>
      </c>
      <c r="I12" s="4">
        <f>B10</f>
        <v>0</v>
      </c>
      <c r="K12" s="9" t="s">
        <v>22</v>
      </c>
      <c r="L12" s="9">
        <v>0</v>
      </c>
      <c r="M12" s="4">
        <v>0</v>
      </c>
      <c r="N12" s="9">
        <v>1</v>
      </c>
      <c r="O12" s="4">
        <f>B26</f>
        <v>0</v>
      </c>
    </row>
    <row r="13" spans="2:19">
      <c r="B13" s="7" t="s">
        <v>45</v>
      </c>
      <c r="E13" s="9" t="s">
        <v>4</v>
      </c>
      <c r="F13" s="10">
        <v>551000</v>
      </c>
      <c r="G13" s="4">
        <f>B10</f>
        <v>0</v>
      </c>
      <c r="H13" s="9">
        <v>1</v>
      </c>
      <c r="I13" s="10">
        <v>550000</v>
      </c>
      <c r="K13" s="9" t="s">
        <v>23</v>
      </c>
      <c r="L13" s="10">
        <v>600001</v>
      </c>
      <c r="M13" s="4">
        <v>0</v>
      </c>
      <c r="N13" s="9">
        <v>1</v>
      </c>
      <c r="O13" s="4">
        <v>600000</v>
      </c>
    </row>
    <row r="14" spans="2:19">
      <c r="B14" s="7" t="s">
        <v>87</v>
      </c>
      <c r="E14" s="9"/>
      <c r="F14" s="10"/>
      <c r="G14" s="4"/>
      <c r="H14" s="9"/>
      <c r="I14" s="10"/>
      <c r="K14" s="9"/>
      <c r="L14" s="10"/>
      <c r="M14" s="4"/>
      <c r="N14" s="9"/>
      <c r="O14" s="4"/>
    </row>
    <row r="15" spans="2:19">
      <c r="B15" s="7" t="s">
        <v>46</v>
      </c>
      <c r="E15" s="9" t="s">
        <v>6</v>
      </c>
      <c r="F15" s="10">
        <v>1619000</v>
      </c>
      <c r="G15" s="4">
        <f>B10</f>
        <v>0</v>
      </c>
      <c r="H15" s="9">
        <v>1</v>
      </c>
      <c r="I15" s="10">
        <f>550000+(B10-1619000)</f>
        <v>-1069000</v>
      </c>
      <c r="K15" s="9" t="s">
        <v>25</v>
      </c>
      <c r="L15" s="10">
        <v>1300001</v>
      </c>
      <c r="M15" s="4">
        <f>B26*0.25</f>
        <v>0</v>
      </c>
      <c r="N15" s="9">
        <v>1</v>
      </c>
      <c r="O15" s="10">
        <v>275000</v>
      </c>
    </row>
    <row r="16" spans="2:19">
      <c r="B16" s="7"/>
      <c r="E16" s="9" t="s">
        <v>7</v>
      </c>
      <c r="F16" s="10">
        <v>1620000</v>
      </c>
      <c r="G16" s="4">
        <f>B10</f>
        <v>0</v>
      </c>
      <c r="H16" s="9">
        <v>1</v>
      </c>
      <c r="I16" s="10">
        <f>550000+(B10-1620000)</f>
        <v>-1070000</v>
      </c>
      <c r="K16" s="9" t="s">
        <v>19</v>
      </c>
      <c r="L16" s="10">
        <v>4100001</v>
      </c>
      <c r="M16" s="4">
        <f>B26*0.15</f>
        <v>0</v>
      </c>
      <c r="N16" s="9">
        <v>1</v>
      </c>
      <c r="O16" s="10">
        <v>685000</v>
      </c>
    </row>
    <row r="17" spans="2:19">
      <c r="B17" s="7" t="s">
        <v>48</v>
      </c>
      <c r="E17" s="9" t="s">
        <v>8</v>
      </c>
      <c r="F17" s="10">
        <v>1622000</v>
      </c>
      <c r="G17" s="4">
        <f>B10</f>
        <v>0</v>
      </c>
      <c r="H17" s="9">
        <v>1</v>
      </c>
      <c r="I17" s="10">
        <f>550000+(B10-1622000)</f>
        <v>-1072000</v>
      </c>
      <c r="K17" s="9" t="s">
        <v>20</v>
      </c>
      <c r="L17" s="10">
        <v>7700001</v>
      </c>
      <c r="M17" s="4">
        <f>B26*0.05</f>
        <v>0</v>
      </c>
      <c r="N17" s="9">
        <v>1</v>
      </c>
      <c r="O17" s="10">
        <v>1455000</v>
      </c>
    </row>
    <row r="18" spans="2:19">
      <c r="B18" s="25"/>
      <c r="C18" s="1" t="s">
        <v>47</v>
      </c>
      <c r="E18" s="9" t="s">
        <v>9</v>
      </c>
      <c r="F18" s="10">
        <v>1624000</v>
      </c>
      <c r="G18" s="4">
        <f>B10</f>
        <v>0</v>
      </c>
      <c r="H18" s="9">
        <v>1</v>
      </c>
      <c r="I18" s="10">
        <f>550000+(B10-1624000)</f>
        <v>-1074000</v>
      </c>
      <c r="K18" s="9" t="s">
        <v>21</v>
      </c>
      <c r="L18" s="10">
        <v>10000001</v>
      </c>
      <c r="M18" s="4">
        <v>0</v>
      </c>
      <c r="N18" s="9">
        <v>1</v>
      </c>
      <c r="O18" s="10">
        <v>1955000</v>
      </c>
    </row>
    <row r="19" spans="2:19">
      <c r="B19" s="7"/>
      <c r="C19" s="8"/>
      <c r="E19" s="9" t="s">
        <v>10</v>
      </c>
      <c r="F19" s="10">
        <v>1628000</v>
      </c>
      <c r="G19" s="4">
        <f>ROUNDDOWN(B10/4,-3)</f>
        <v>0</v>
      </c>
      <c r="H19" s="9">
        <v>2.4</v>
      </c>
      <c r="I19" s="10">
        <v>-100000</v>
      </c>
      <c r="K19" s="14" t="s">
        <v>28</v>
      </c>
    </row>
    <row r="20" spans="2:19">
      <c r="B20" s="7"/>
      <c r="C20" s="12"/>
      <c r="E20" s="9" t="s">
        <v>11</v>
      </c>
      <c r="F20" s="10">
        <v>1800000</v>
      </c>
      <c r="G20" s="4">
        <f>ROUNDDOWN(B10/4,-3)</f>
        <v>0</v>
      </c>
      <c r="H20" s="9">
        <v>2.8</v>
      </c>
      <c r="I20" s="10">
        <v>80000</v>
      </c>
      <c r="K20" s="9" t="s">
        <v>17</v>
      </c>
      <c r="L20" s="9" t="s">
        <v>2</v>
      </c>
      <c r="M20" s="9" t="s">
        <v>15</v>
      </c>
      <c r="N20" s="9" t="s">
        <v>5</v>
      </c>
      <c r="O20" s="9" t="s">
        <v>0</v>
      </c>
    </row>
    <row r="21" spans="2:19">
      <c r="B21" s="1" t="s">
        <v>39</v>
      </c>
      <c r="C21" s="7"/>
      <c r="E21" s="19" t="s">
        <v>12</v>
      </c>
      <c r="F21" s="10">
        <v>3600000</v>
      </c>
      <c r="G21" s="4">
        <f>ROUNDDOWN(B10/4,-3)</f>
        <v>0</v>
      </c>
      <c r="H21" s="9">
        <v>3.2</v>
      </c>
      <c r="I21" s="10">
        <v>440000</v>
      </c>
      <c r="K21" s="9" t="s">
        <v>27</v>
      </c>
      <c r="L21" s="9">
        <v>0</v>
      </c>
      <c r="M21" s="4">
        <v>0</v>
      </c>
      <c r="N21" s="9">
        <v>1</v>
      </c>
      <c r="O21" s="4">
        <f>B26</f>
        <v>0</v>
      </c>
    </row>
    <row r="22" spans="2:19">
      <c r="B22" s="13">
        <f>E9-(E6+F6)</f>
        <v>0</v>
      </c>
      <c r="C22" s="16"/>
      <c r="E22" s="19" t="s">
        <v>13</v>
      </c>
      <c r="F22" s="10">
        <v>6600000</v>
      </c>
      <c r="G22" s="4">
        <f>B10</f>
        <v>0</v>
      </c>
      <c r="H22" s="9">
        <v>0.9</v>
      </c>
      <c r="I22" s="10">
        <v>1100000</v>
      </c>
      <c r="K22" s="9" t="s">
        <v>26</v>
      </c>
      <c r="L22" s="10">
        <v>1100001</v>
      </c>
      <c r="M22" s="4">
        <v>0</v>
      </c>
      <c r="N22" s="9">
        <v>1</v>
      </c>
      <c r="O22" s="4">
        <v>1100000</v>
      </c>
    </row>
    <row r="23" spans="2:19">
      <c r="E23" s="9" t="s">
        <v>14</v>
      </c>
      <c r="F23" s="10">
        <v>8500000</v>
      </c>
      <c r="G23" s="4">
        <f>B10</f>
        <v>0</v>
      </c>
      <c r="H23" s="9">
        <v>1</v>
      </c>
      <c r="I23" s="10">
        <v>1950000</v>
      </c>
      <c r="K23" s="9" t="s">
        <v>18</v>
      </c>
      <c r="L23" s="10">
        <v>3300001</v>
      </c>
      <c r="M23" s="4">
        <f>B26*0.25</f>
        <v>0</v>
      </c>
      <c r="N23" s="9">
        <v>1</v>
      </c>
      <c r="O23" s="10">
        <v>275000</v>
      </c>
    </row>
    <row r="24" spans="2:19">
      <c r="K24" s="9" t="s">
        <v>19</v>
      </c>
      <c r="L24" s="10">
        <v>4100001</v>
      </c>
      <c r="M24" s="4">
        <f>B26*0.15</f>
        <v>0</v>
      </c>
      <c r="N24" s="9">
        <v>1</v>
      </c>
      <c r="O24" s="10">
        <v>685000</v>
      </c>
    </row>
    <row r="25" spans="2:19">
      <c r="B25" s="1" t="s">
        <v>49</v>
      </c>
      <c r="E25" s="1" t="s">
        <v>35</v>
      </c>
      <c r="K25" s="9" t="s">
        <v>20</v>
      </c>
      <c r="L25" s="10">
        <v>7700001</v>
      </c>
      <c r="M25" s="4">
        <f>B26*0.05</f>
        <v>0</v>
      </c>
      <c r="N25" s="9">
        <v>1</v>
      </c>
      <c r="O25" s="10">
        <v>1455000</v>
      </c>
      <c r="R25" s="1" t="s">
        <v>88</v>
      </c>
    </row>
    <row r="26" spans="2:19">
      <c r="B26" s="24"/>
      <c r="C26" s="1" t="s">
        <v>16</v>
      </c>
      <c r="E26" s="4">
        <f>IF(E9&lt;100000,E9,100000)</f>
        <v>0</v>
      </c>
      <c r="F26" s="9" t="s">
        <v>36</v>
      </c>
      <c r="K26" s="9" t="s">
        <v>21</v>
      </c>
      <c r="L26" s="10">
        <v>10000001</v>
      </c>
      <c r="M26" s="4">
        <v>0</v>
      </c>
      <c r="N26" s="9">
        <v>1</v>
      </c>
      <c r="O26" s="10">
        <v>1955000</v>
      </c>
      <c r="R26" s="1">
        <f>IF(C6&lt;65,B26-600000,0)</f>
        <v>0</v>
      </c>
      <c r="S26" s="1">
        <f>IF(R26+R27&gt;0,1,0)</f>
        <v>0</v>
      </c>
    </row>
    <row r="27" spans="2:19">
      <c r="B27" s="20"/>
      <c r="E27" s="4">
        <f>IF(B30&lt;100000,B30,100000)</f>
        <v>0</v>
      </c>
      <c r="F27" s="9" t="s">
        <v>37</v>
      </c>
      <c r="R27" s="1">
        <f>IF(C6&gt;=65,B26-1250000,0)</f>
        <v>-1250000</v>
      </c>
    </row>
    <row r="29" spans="2:19">
      <c r="B29" s="1" t="s">
        <v>24</v>
      </c>
      <c r="D29" s="18"/>
    </row>
    <row r="30" spans="2:19">
      <c r="B30" s="15">
        <f>IF(C6&lt;65,B26-(VLOOKUP(B26,L12:O18,2,TRUE)+VLOOKUP(B26,L12:O18,4,TRUE)),IF(C6&gt;=65,B26-(VLOOKUP(B26,L21:O26,2,TRUE)+VLOOKUP(B26,L21:O26,4,TRUE))))</f>
        <v>0</v>
      </c>
      <c r="C30" s="17"/>
      <c r="D30" s="7"/>
      <c r="E30" s="1" t="s">
        <v>95</v>
      </c>
      <c r="R30" s="1" t="s">
        <v>89</v>
      </c>
    </row>
    <row r="31" spans="2:19">
      <c r="E31" s="1">
        <f>IF(C6&gt;64,B30,0)</f>
        <v>0</v>
      </c>
      <c r="R31" s="1">
        <f>IF(S10+S26&gt;=1,1,0)</f>
        <v>0</v>
      </c>
    </row>
    <row r="32" spans="2:19">
      <c r="E32" s="1">
        <f>IF(E31&lt;150000,E31,150000)</f>
        <v>0</v>
      </c>
    </row>
    <row r="33" spans="2:5">
      <c r="B33" s="1" t="s">
        <v>50</v>
      </c>
      <c r="E33" s="1">
        <f>IF(E32&gt;0,E32,0)</f>
        <v>0</v>
      </c>
    </row>
    <row r="34" spans="2:5">
      <c r="B34" s="24"/>
      <c r="C34" s="1" t="s">
        <v>16</v>
      </c>
    </row>
    <row r="35" spans="2:5">
      <c r="B35" s="1" t="s">
        <v>41</v>
      </c>
      <c r="E35" s="1">
        <f>IF(B6&gt;0,1,0)</f>
        <v>0</v>
      </c>
    </row>
    <row r="36" spans="2:5">
      <c r="D36" s="1" t="s">
        <v>40</v>
      </c>
    </row>
    <row r="37" spans="2:5">
      <c r="D37" s="11">
        <f>IF(B22+B30+B34&lt;0,0,B22+B30+B34)</f>
        <v>0</v>
      </c>
    </row>
  </sheetData>
  <sheetProtection algorithmName="SHA-512" hashValue="bZygrZIK9CqvhtZsG+RnnHJ9qx98bv4nZpCbOjANmRXbiayskwrNKjF4Vifo5FsQGiesTruqO/p+8QJ9uhWDFA==" saltValue="pUZiAdKY8MvNCs4GkOA+wA==" spinCount="100000" sheet="1" objects="1" scenarios="1"/>
  <phoneticPr fontId="2"/>
  <dataValidations count="1">
    <dataValidation type="list" allowBlank="1" showInputMessage="1" showErrorMessage="1" sqref="B18">
      <formula1>$Q$2:$Q$4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保険料試算シート</vt:lpstr>
      <vt:lpstr>加入者</vt:lpstr>
      <vt:lpstr>世帯主</vt:lpstr>
      <vt:lpstr>被保険者（1人目）</vt:lpstr>
      <vt:lpstr>被保険者（2人目）</vt:lpstr>
      <vt:lpstr>被保険者（3人目）</vt:lpstr>
      <vt:lpstr>加入者!Print_Area</vt:lpstr>
      <vt:lpstr>世帯主!Print_Area</vt:lpstr>
      <vt:lpstr>'被保険者（1人目）'!Print_Area</vt:lpstr>
      <vt:lpstr>'被保険者（2人目）'!Print_Area</vt:lpstr>
      <vt:lpstr>'被保険者（3人目）'!Print_Area</vt:lpstr>
      <vt:lpstr>保険料試算シート!Print_Area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2024-03-26T12:24:37Z</dcterms:modified>
</cp:coreProperties>
</file>