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C8F29015-26F5-40B5-A94A-1B2EEB5802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保険料試算シート" sheetId="3" r:id="rId1"/>
    <sheet name="加入者" sheetId="1" r:id="rId2"/>
    <sheet name="世帯主" sheetId="9" r:id="rId3"/>
    <sheet name="被保険者（1人目）" sheetId="5" r:id="rId4"/>
    <sheet name="被保険者（2人目）" sheetId="6" r:id="rId5"/>
    <sheet name="被保険者（3人目）" sheetId="7" r:id="rId6"/>
  </sheets>
  <definedNames>
    <definedName name="_xlnm.Print_Area" localSheetId="1">加入者!$A$1:$D$37</definedName>
    <definedName name="_xlnm.Print_Area" localSheetId="2">世帯主!$A$1:$D$37</definedName>
    <definedName name="_xlnm.Print_Area" localSheetId="3">'被保険者（1人目）'!$A$1:$D$37</definedName>
    <definedName name="_xlnm.Print_Area" localSheetId="4">'被保険者（2人目）'!$A$1:$D$37</definedName>
    <definedName name="_xlnm.Print_Area" localSheetId="5">'被保険者（3人目）'!$A$1:$D$37</definedName>
    <definedName name="_xlnm.Print_Area" localSheetId="0">保険料試算シート!$A$1:$AD$61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3" l="1"/>
  <c r="H60" i="3"/>
  <c r="U50" i="3" l="1"/>
  <c r="G18" i="7"/>
  <c r="G17" i="7"/>
  <c r="G16" i="7"/>
  <c r="G15" i="7"/>
  <c r="G13" i="7"/>
  <c r="I12" i="7"/>
  <c r="G12" i="7"/>
  <c r="G18" i="6"/>
  <c r="G17" i="6"/>
  <c r="G16" i="6"/>
  <c r="G15" i="6"/>
  <c r="G13" i="6"/>
  <c r="I12" i="6"/>
  <c r="G12" i="6"/>
  <c r="G18" i="5"/>
  <c r="G17" i="5"/>
  <c r="G16" i="5"/>
  <c r="G15" i="5"/>
  <c r="G13" i="5"/>
  <c r="I12" i="5"/>
  <c r="G12" i="5"/>
  <c r="G18" i="9"/>
  <c r="G17" i="9"/>
  <c r="G16" i="9"/>
  <c r="G15" i="9"/>
  <c r="G13" i="9"/>
  <c r="I12" i="9"/>
  <c r="G12" i="9"/>
  <c r="G15" i="1"/>
  <c r="G18" i="1"/>
  <c r="G17" i="1"/>
  <c r="G16" i="1"/>
  <c r="G13" i="1"/>
  <c r="I12" i="1"/>
  <c r="G12" i="1"/>
  <c r="F36" i="9" l="1"/>
  <c r="U32" i="3"/>
  <c r="C6" i="1"/>
  <c r="W32" i="3" l="1"/>
  <c r="V32" i="3"/>
  <c r="C6" i="9" l="1"/>
  <c r="E35" i="7" l="1"/>
  <c r="M25" i="7"/>
  <c r="M24" i="7"/>
  <c r="M23" i="7"/>
  <c r="O21" i="7"/>
  <c r="M17" i="7"/>
  <c r="M16" i="7"/>
  <c r="M15" i="7"/>
  <c r="O12" i="7"/>
  <c r="E9" i="7"/>
  <c r="E26" i="7" s="1"/>
  <c r="R10" i="7"/>
  <c r="S10" i="7" s="1"/>
  <c r="E6" i="7"/>
  <c r="C6" i="7"/>
  <c r="B30" i="7" s="1"/>
  <c r="E31" i="7" s="1"/>
  <c r="E32" i="7" s="1"/>
  <c r="E33" i="7" s="1"/>
  <c r="G3" i="7"/>
  <c r="E35" i="6"/>
  <c r="M25" i="6"/>
  <c r="M24" i="6"/>
  <c r="M23" i="6"/>
  <c r="O21" i="6"/>
  <c r="M17" i="6"/>
  <c r="M16" i="6"/>
  <c r="M15" i="6"/>
  <c r="O12" i="6"/>
  <c r="E9" i="6"/>
  <c r="E26" i="6" s="1"/>
  <c r="R10" i="6"/>
  <c r="S10" i="6" s="1"/>
  <c r="E6" i="6"/>
  <c r="C6" i="6"/>
  <c r="G3" i="6"/>
  <c r="E35" i="5"/>
  <c r="M25" i="5"/>
  <c r="M24" i="5"/>
  <c r="M23" i="5"/>
  <c r="O21" i="5"/>
  <c r="M17" i="5"/>
  <c r="M16" i="5"/>
  <c r="M15" i="5"/>
  <c r="O12" i="5"/>
  <c r="R10" i="5"/>
  <c r="S10" i="5" s="1"/>
  <c r="E6" i="5"/>
  <c r="C6" i="5"/>
  <c r="G3" i="5"/>
  <c r="E35" i="9"/>
  <c r="E36" i="9" s="1"/>
  <c r="M25" i="9"/>
  <c r="M24" i="9"/>
  <c r="M23" i="9"/>
  <c r="O21" i="9"/>
  <c r="M17" i="9"/>
  <c r="M16" i="9"/>
  <c r="M15" i="9"/>
  <c r="O12" i="9"/>
  <c r="R10" i="9"/>
  <c r="S10" i="9" s="1"/>
  <c r="E6" i="9"/>
  <c r="R26" i="9"/>
  <c r="G3" i="9"/>
  <c r="E35" i="1"/>
  <c r="M25" i="1"/>
  <c r="M24" i="1"/>
  <c r="M23" i="1"/>
  <c r="O21" i="1"/>
  <c r="M17" i="1"/>
  <c r="M16" i="1"/>
  <c r="M15" i="1"/>
  <c r="O12" i="1"/>
  <c r="R10" i="1"/>
  <c r="S10" i="1" s="1"/>
  <c r="E6" i="1"/>
  <c r="R27" i="1"/>
  <c r="G3" i="1"/>
  <c r="F5" i="3"/>
  <c r="E5" i="3"/>
  <c r="W1" i="3"/>
  <c r="AF20" i="3" l="1"/>
  <c r="E9" i="1"/>
  <c r="E9" i="9"/>
  <c r="E26" i="9" s="1"/>
  <c r="E9" i="5"/>
  <c r="E26" i="5" s="1"/>
  <c r="R26" i="7"/>
  <c r="R27" i="7"/>
  <c r="E27" i="7"/>
  <c r="F6" i="7" s="1"/>
  <c r="B22" i="7" s="1"/>
  <c r="D37" i="7" s="1"/>
  <c r="R27" i="9"/>
  <c r="S26" i="9" s="1"/>
  <c r="R31" i="9" s="1"/>
  <c r="B30" i="9"/>
  <c r="E27" i="9" s="1"/>
  <c r="R26" i="6"/>
  <c r="B30" i="6"/>
  <c r="E27" i="6" s="1"/>
  <c r="F6" i="6" s="1"/>
  <c r="B22" i="6" s="1"/>
  <c r="D37" i="6" s="1"/>
  <c r="R27" i="6"/>
  <c r="R27" i="5"/>
  <c r="R26" i="5"/>
  <c r="B30" i="5"/>
  <c r="E27" i="5" s="1"/>
  <c r="R26" i="1"/>
  <c r="S26" i="1" s="1"/>
  <c r="R31" i="1" s="1"/>
  <c r="J5" i="3"/>
  <c r="B30" i="1"/>
  <c r="E31" i="1" s="1"/>
  <c r="E32" i="1" s="1"/>
  <c r="E33" i="1" s="1"/>
  <c r="E26" i="1" l="1"/>
  <c r="F6" i="9"/>
  <c r="B22" i="9" s="1"/>
  <c r="D37" i="9" s="1"/>
  <c r="Z11" i="3" s="1"/>
  <c r="F6" i="5"/>
  <c r="B22" i="5" s="1"/>
  <c r="D37" i="5" s="1"/>
  <c r="S26" i="7"/>
  <c r="R31" i="7" s="1"/>
  <c r="E31" i="9"/>
  <c r="E32" i="9" s="1"/>
  <c r="E33" i="9" s="1"/>
  <c r="S26" i="5"/>
  <c r="R31" i="5" s="1"/>
  <c r="S26" i="6"/>
  <c r="R31" i="6" s="1"/>
  <c r="E31" i="6"/>
  <c r="E32" i="6" s="1"/>
  <c r="E33" i="6" s="1"/>
  <c r="E31" i="5"/>
  <c r="E32" i="5" s="1"/>
  <c r="E33" i="5" s="1"/>
  <c r="E27" i="1"/>
  <c r="F6" i="1" l="1"/>
  <c r="B22" i="1" s="1"/>
  <c r="D37" i="1" s="1"/>
  <c r="AF16" i="3"/>
  <c r="Z14" i="3" s="1"/>
  <c r="AK16" i="3"/>
  <c r="AF24" i="3" l="1"/>
  <c r="K5" i="3"/>
  <c r="C39" i="3" s="1"/>
  <c r="AL9" i="3" l="1"/>
  <c r="AJ9" i="3" s="1"/>
  <c r="AL8" i="3"/>
  <c r="AJ8" i="3" s="1"/>
  <c r="AL7" i="3"/>
  <c r="AJ7" i="3" s="1"/>
  <c r="C21" i="3"/>
  <c r="AF5" i="3"/>
  <c r="I39" i="3" s="1"/>
  <c r="S39" i="3" s="1"/>
  <c r="AK10" i="3" l="1"/>
  <c r="I21" i="3"/>
  <c r="S21" i="3" s="1"/>
  <c r="S43" i="3" l="1"/>
  <c r="S48" i="3" s="1"/>
  <c r="S51" i="3" s="1"/>
  <c r="Z51" i="3" s="1"/>
  <c r="S25" i="3"/>
  <c r="S30" i="3" s="1"/>
  <c r="S33" i="3" s="1"/>
  <c r="Z33" i="3" s="1"/>
  <c r="W8" i="3"/>
  <c r="Z55" i="3" l="1"/>
  <c r="C60" i="3" s="1"/>
  <c r="Y60" i="3" l="1"/>
  <c r="N6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G33" authorId="0" shapeId="0" xr:uid="{00000000-0006-0000-0000-000001000000}">
      <text>
        <r>
          <rPr>
            <b/>
            <sz val="18"/>
            <color indexed="81"/>
            <rFont val="MS P ゴシック"/>
            <family val="3"/>
            <charset val="128"/>
          </rPr>
          <t>障害認定の人には対応してません！！</t>
        </r>
      </text>
    </comment>
    <comment ref="AG51" authorId="0" shapeId="0" xr:uid="{8A77215C-E4F9-4A55-BACD-034249B379D9}">
      <text>
        <r>
          <rPr>
            <b/>
            <sz val="18"/>
            <color indexed="81"/>
            <rFont val="MS P ゴシック"/>
            <family val="3"/>
            <charset val="128"/>
          </rPr>
          <t>障害認定の人には対応してません！！</t>
        </r>
      </text>
    </comment>
  </commentList>
</comments>
</file>

<file path=xl/sharedStrings.xml><?xml version="1.0" encoding="utf-8"?>
<sst xmlns="http://schemas.openxmlformats.org/spreadsheetml/2006/main" count="427" uniqueCount="109">
  <si>
    <t>所得計算方法</t>
    <rPh sb="0" eb="2">
      <t>ショトク</t>
    </rPh>
    <rPh sb="2" eb="4">
      <t>ケイサン</t>
    </rPh>
    <rPh sb="4" eb="6">
      <t>ホウホウ</t>
    </rPh>
    <phoneticPr fontId="2"/>
  </si>
  <si>
    <t>給与収入金額</t>
    <rPh sb="0" eb="2">
      <t>キュウヨ</t>
    </rPh>
    <rPh sb="2" eb="4">
      <t>シュウニュウ</t>
    </rPh>
    <rPh sb="4" eb="6">
      <t>キンガク</t>
    </rPh>
    <phoneticPr fontId="2"/>
  </si>
  <si>
    <t>判定用</t>
    <rPh sb="0" eb="3">
      <t>ハンテイヨウ</t>
    </rPh>
    <phoneticPr fontId="2"/>
  </si>
  <si>
    <t>乗率</t>
    <rPh sb="0" eb="2">
      <t>ジョウリツ</t>
    </rPh>
    <phoneticPr fontId="2"/>
  </si>
  <si>
    <t>基礎数値</t>
    <rPh sb="0" eb="2">
      <t>キソ</t>
    </rPh>
    <rPh sb="2" eb="4">
      <t>スウチ</t>
    </rPh>
    <phoneticPr fontId="2"/>
  </si>
  <si>
    <t>←入力</t>
    <rPh sb="1" eb="3">
      <t>ニュウリョク</t>
    </rPh>
    <phoneticPr fontId="2"/>
  </si>
  <si>
    <t>公的年金等収入金額</t>
    <rPh sb="0" eb="2">
      <t>コウテキ</t>
    </rPh>
    <rPh sb="2" eb="4">
      <t>ネンキン</t>
    </rPh>
    <rPh sb="4" eb="5">
      <t>トウ</t>
    </rPh>
    <rPh sb="5" eb="7">
      <t>シュウニュウ</t>
    </rPh>
    <rPh sb="7" eb="9">
      <t>キンガク</t>
    </rPh>
    <phoneticPr fontId="2"/>
  </si>
  <si>
    <t>3,300,001～4,100,000</t>
    <phoneticPr fontId="2"/>
  </si>
  <si>
    <t>4,100,001～7,700,000</t>
    <phoneticPr fontId="2"/>
  </si>
  <si>
    <t>7,700,001～10,000,000</t>
    <phoneticPr fontId="2"/>
  </si>
  <si>
    <t>10,000,001～</t>
    <phoneticPr fontId="2"/>
  </si>
  <si>
    <t>～600,000</t>
    <phoneticPr fontId="2"/>
  </si>
  <si>
    <t>600,001～1,300,000</t>
    <phoneticPr fontId="2"/>
  </si>
  <si>
    <t>公的年金等所得</t>
    <rPh sb="0" eb="2">
      <t>コウテキ</t>
    </rPh>
    <rPh sb="2" eb="4">
      <t>ネンキン</t>
    </rPh>
    <rPh sb="4" eb="5">
      <t>トウ</t>
    </rPh>
    <rPh sb="5" eb="7">
      <t>ショトク</t>
    </rPh>
    <phoneticPr fontId="2"/>
  </si>
  <si>
    <t>1,300,001～4,100,000</t>
    <phoneticPr fontId="2"/>
  </si>
  <si>
    <t>1,100,001～3,300,000</t>
    <phoneticPr fontId="2"/>
  </si>
  <si>
    <t>～1,100,000</t>
    <phoneticPr fontId="2"/>
  </si>
  <si>
    <t>65歳以上</t>
    <rPh sb="2" eb="5">
      <t>サイイジョウ</t>
    </rPh>
    <phoneticPr fontId="2"/>
  </si>
  <si>
    <t>基準日</t>
    <rPh sb="0" eb="3">
      <t>キジュンビ</t>
    </rPh>
    <phoneticPr fontId="2"/>
  </si>
  <si>
    <t>65歳未満</t>
    <rPh sb="2" eb="5">
      <t>サイミマン</t>
    </rPh>
    <phoneticPr fontId="2"/>
  </si>
  <si>
    <t>〇</t>
    <phoneticPr fontId="2"/>
  </si>
  <si>
    <t>所得金額調整控除（１）</t>
    <rPh sb="0" eb="2">
      <t>ショトク</t>
    </rPh>
    <rPh sb="2" eb="4">
      <t>キンガク</t>
    </rPh>
    <rPh sb="4" eb="6">
      <t>チョウセイ</t>
    </rPh>
    <rPh sb="6" eb="8">
      <t>コウジョ</t>
    </rPh>
    <phoneticPr fontId="2"/>
  </si>
  <si>
    <t>所得金額調整控除（２）</t>
    <rPh sb="0" eb="2">
      <t>ショトク</t>
    </rPh>
    <rPh sb="2" eb="4">
      <t>キンガク</t>
    </rPh>
    <rPh sb="4" eb="6">
      <t>チョウセイ</t>
    </rPh>
    <rPh sb="6" eb="8">
      <t>コウジョ</t>
    </rPh>
    <phoneticPr fontId="2"/>
  </si>
  <si>
    <t>所得調整控除（１）基準額</t>
    <rPh sb="0" eb="2">
      <t>ショトク</t>
    </rPh>
    <rPh sb="2" eb="4">
      <t>チョウセイ</t>
    </rPh>
    <rPh sb="4" eb="6">
      <t>コウジョ</t>
    </rPh>
    <rPh sb="9" eb="11">
      <t>キジュン</t>
    </rPh>
    <rPh sb="11" eb="12">
      <t>ガク</t>
    </rPh>
    <phoneticPr fontId="2"/>
  </si>
  <si>
    <t>所得金額調整控除（２）基準額</t>
    <rPh sb="0" eb="2">
      <t>ショトク</t>
    </rPh>
    <rPh sb="2" eb="4">
      <t>キンガク</t>
    </rPh>
    <rPh sb="4" eb="6">
      <t>チョウセイ</t>
    </rPh>
    <rPh sb="6" eb="8">
      <t>コウジョ</t>
    </rPh>
    <rPh sb="11" eb="13">
      <t>キジュン</t>
    </rPh>
    <rPh sb="13" eb="14">
      <t>ガク</t>
    </rPh>
    <phoneticPr fontId="2"/>
  </si>
  <si>
    <t>給与</t>
    <rPh sb="0" eb="2">
      <t>キュウヨ</t>
    </rPh>
    <phoneticPr fontId="2"/>
  </si>
  <si>
    <t>年金</t>
    <rPh sb="0" eb="2">
      <t>ネンキン</t>
    </rPh>
    <phoneticPr fontId="2"/>
  </si>
  <si>
    <t>給与所得（給与のみ算定）</t>
    <rPh sb="0" eb="2">
      <t>キュウヨ</t>
    </rPh>
    <rPh sb="2" eb="4">
      <t>ショトク</t>
    </rPh>
    <rPh sb="5" eb="7">
      <t>キュウヨ</t>
    </rPh>
    <rPh sb="9" eb="11">
      <t>サンテイ</t>
    </rPh>
    <phoneticPr fontId="2"/>
  </si>
  <si>
    <t>給与所得</t>
    <phoneticPr fontId="2"/>
  </si>
  <si>
    <t>合計所得</t>
    <rPh sb="0" eb="2">
      <t>ゴウケイ</t>
    </rPh>
    <rPh sb="2" eb="4">
      <t>ショトク</t>
    </rPh>
    <phoneticPr fontId="2"/>
  </si>
  <si>
    <t>※複数の所得がある場合は合計値を入力</t>
    <rPh sb="1" eb="3">
      <t>フクスウ</t>
    </rPh>
    <rPh sb="4" eb="6">
      <t>ショトク</t>
    </rPh>
    <rPh sb="9" eb="11">
      <t>バアイ</t>
    </rPh>
    <rPh sb="12" eb="15">
      <t>ゴウケイチ</t>
    </rPh>
    <rPh sb="16" eb="18">
      <t>ニュウリョク</t>
    </rPh>
    <phoneticPr fontId="2"/>
  </si>
  <si>
    <r>
      <t>※②給与収入が</t>
    </r>
    <r>
      <rPr>
        <u/>
        <sz val="11"/>
        <color rgb="FFFF0000"/>
        <rFont val="HG丸ｺﾞｼｯｸM-PRO"/>
        <family val="3"/>
        <charset val="128"/>
      </rPr>
      <t>850万円を超える場合のみ</t>
    </r>
    <r>
      <rPr>
        <sz val="11"/>
        <color theme="1"/>
        <rFont val="HG丸ｺﾞｼｯｸM-PRO"/>
        <family val="3"/>
        <charset val="128"/>
      </rPr>
      <t>③の欄に〇か×を選択してください。</t>
    </r>
    <rPh sb="2" eb="4">
      <t>キュウヨ</t>
    </rPh>
    <rPh sb="4" eb="6">
      <t>シュウニュウ</t>
    </rPh>
    <rPh sb="10" eb="12">
      <t>マンエン</t>
    </rPh>
    <rPh sb="13" eb="14">
      <t>コ</t>
    </rPh>
    <rPh sb="16" eb="18">
      <t>バアイ</t>
    </rPh>
    <rPh sb="22" eb="23">
      <t>ラン</t>
    </rPh>
    <rPh sb="28" eb="30">
      <t>センタク</t>
    </rPh>
    <phoneticPr fontId="2"/>
  </si>
  <si>
    <t>×</t>
  </si>
  <si>
    <t>×</t>
    <phoneticPr fontId="2"/>
  </si>
  <si>
    <t>Ａ　本人・同一生計配偶者・扶養親族のいずれかが特別障害者である</t>
    <rPh sb="2" eb="4">
      <t>ホンニン</t>
    </rPh>
    <rPh sb="5" eb="7">
      <t>ドウイツ</t>
    </rPh>
    <rPh sb="7" eb="9">
      <t>セイケイ</t>
    </rPh>
    <rPh sb="9" eb="12">
      <t>ハイグウシャ</t>
    </rPh>
    <rPh sb="13" eb="15">
      <t>フヨウ</t>
    </rPh>
    <rPh sb="15" eb="17">
      <t>シンゾク</t>
    </rPh>
    <rPh sb="23" eb="25">
      <t>トクベツ</t>
    </rPh>
    <rPh sb="25" eb="28">
      <t>ショウガイシャ</t>
    </rPh>
    <phoneticPr fontId="2"/>
  </si>
  <si>
    <t>Ｂ　23歳未満の扶養親族がいる</t>
    <rPh sb="4" eb="7">
      <t>サイミマン</t>
    </rPh>
    <rPh sb="8" eb="10">
      <t>フヨウ</t>
    </rPh>
    <rPh sb="10" eb="12">
      <t>シンゾク</t>
    </rPh>
    <phoneticPr fontId="2"/>
  </si>
  <si>
    <t>←Ａ、Ｂのいずれかまたは両方に該当する</t>
    <rPh sb="12" eb="14">
      <t>リョウホウ</t>
    </rPh>
    <rPh sb="15" eb="17">
      <t>ガイトウ</t>
    </rPh>
    <phoneticPr fontId="2"/>
  </si>
  <si>
    <t>③</t>
    <phoneticPr fontId="2"/>
  </si>
  <si>
    <t>④公的年金等収入</t>
    <rPh sb="1" eb="3">
      <t>コウテキ</t>
    </rPh>
    <rPh sb="3" eb="5">
      <t>ネンキン</t>
    </rPh>
    <rPh sb="5" eb="6">
      <t>トウ</t>
    </rPh>
    <rPh sb="6" eb="8">
      <t>シュウニュウ</t>
    </rPh>
    <phoneticPr fontId="2"/>
  </si>
  <si>
    <t>⑤その他所得（事業所得、不動産所得等）</t>
    <rPh sb="3" eb="4">
      <t>タ</t>
    </rPh>
    <rPh sb="4" eb="6">
      <t>ショトク</t>
    </rPh>
    <rPh sb="7" eb="9">
      <t>ジギョウ</t>
    </rPh>
    <rPh sb="9" eb="11">
      <t>ショトク</t>
    </rPh>
    <rPh sb="12" eb="15">
      <t>フドウサン</t>
    </rPh>
    <rPh sb="15" eb="17">
      <t>ショトク</t>
    </rPh>
    <rPh sb="17" eb="18">
      <t>トウ</t>
    </rPh>
    <phoneticPr fontId="2"/>
  </si>
  <si>
    <t>算定日</t>
  </si>
  <si>
    <t>生年月日</t>
  </si>
  <si>
    <t>年</t>
  </si>
  <si>
    <t>加入する方の所得</t>
    <rPh sb="4" eb="5">
      <t>カタ</t>
    </rPh>
    <rPh sb="6" eb="8">
      <t>ショトク</t>
    </rPh>
    <phoneticPr fontId="8"/>
  </si>
  <si>
    <t>基礎控除額</t>
    <rPh sb="0" eb="2">
      <t>キソ</t>
    </rPh>
    <rPh sb="2" eb="4">
      <t>コウジョ</t>
    </rPh>
    <rPh sb="4" eb="5">
      <t>ガク</t>
    </rPh>
    <phoneticPr fontId="10"/>
  </si>
  <si>
    <t>世帯主が加入の場合のみ下段有効</t>
  </si>
  <si>
    <t>※専従者注意</t>
    <rPh sb="1" eb="4">
      <t>センジュウシャ</t>
    </rPh>
    <rPh sb="4" eb="6">
      <t>チュウイ</t>
    </rPh>
    <phoneticPr fontId="8"/>
  </si>
  <si>
    <t>2軽減</t>
    <phoneticPr fontId="8"/>
  </si>
  <si>
    <t>5軽減</t>
    <phoneticPr fontId="8"/>
  </si>
  <si>
    <t>7軽減</t>
    <phoneticPr fontId="8"/>
  </si>
  <si>
    <t>合計</t>
  </si>
  <si>
    <t>人</t>
    <rPh sb="0" eb="1">
      <t>ニン</t>
    </rPh>
    <phoneticPr fontId="10"/>
  </si>
  <si>
    <t>給与所得者等の数</t>
    <rPh sb="0" eb="2">
      <t>キュウヨ</t>
    </rPh>
    <rPh sb="2" eb="4">
      <t>ショトク</t>
    </rPh>
    <rPh sb="4" eb="5">
      <t>シャ</t>
    </rPh>
    <rPh sb="5" eb="6">
      <t>トウ</t>
    </rPh>
    <rPh sb="7" eb="8">
      <t>カズ</t>
    </rPh>
    <phoneticPr fontId="10"/>
  </si>
  <si>
    <t>医療分</t>
    <phoneticPr fontId="8"/>
  </si>
  <si>
    <t>総所得金額</t>
  </si>
  <si>
    <t>保険税基礎控除</t>
  </si>
  <si>
    <t>(所得)</t>
    <rPh sb="1" eb="3">
      <t>ショトク</t>
    </rPh>
    <phoneticPr fontId="8"/>
  </si>
  <si>
    <t>円－</t>
  </si>
  <si>
    <t>円×</t>
  </si>
  <si>
    <t>％＝</t>
  </si>
  <si>
    <t>円</t>
  </si>
  <si>
    <t>１人あたり金額</t>
  </si>
  <si>
    <t>(均等)</t>
    <rPh sb="1" eb="3">
      <t>キントウ</t>
    </rPh>
    <phoneticPr fontId="8"/>
  </si>
  <si>
    <t>円＝</t>
  </si>
  <si>
    <t>※軽減対象</t>
  </si>
  <si>
    <t>限度額</t>
  </si>
  <si>
    <t>改め</t>
  </si>
  <si>
    <t>年額</t>
  </si>
  <si>
    <t>100円以下切り捨て</t>
  </si>
  <si>
    <t>約</t>
  </si>
  <si>
    <t>ヵ月／12ヵ月＝</t>
    <phoneticPr fontId="8"/>
  </si>
  <si>
    <t>１ヵ月あたり</t>
  </si>
  <si>
    <t>　</t>
    <phoneticPr fontId="8"/>
  </si>
  <si>
    <t>①氏名</t>
    <rPh sb="1" eb="3">
      <t>シメイ</t>
    </rPh>
    <phoneticPr fontId="2"/>
  </si>
  <si>
    <t>②生年月日</t>
    <rPh sb="1" eb="3">
      <t>セイネン</t>
    </rPh>
    <rPh sb="3" eb="5">
      <t>ガッピ</t>
    </rPh>
    <phoneticPr fontId="2"/>
  </si>
  <si>
    <t>③給与収入</t>
    <rPh sb="1" eb="3">
      <t>キュウヨ</t>
    </rPh>
    <rPh sb="3" eb="5">
      <t>シュウニュウ</t>
    </rPh>
    <phoneticPr fontId="2"/>
  </si>
  <si>
    <t xml:space="preserve">  （特別障害者とは身体障害者手帳一級または二級、精神障害者保健福祉手帳</t>
    <rPh sb="3" eb="5">
      <t>トクベツ</t>
    </rPh>
    <rPh sb="5" eb="8">
      <t>ショウガイシャ</t>
    </rPh>
    <rPh sb="10" eb="12">
      <t>シンタイ</t>
    </rPh>
    <rPh sb="12" eb="14">
      <t>ショウガイ</t>
    </rPh>
    <rPh sb="14" eb="15">
      <t>シャ</t>
    </rPh>
    <rPh sb="15" eb="17">
      <t>テチョウ</t>
    </rPh>
    <rPh sb="17" eb="19">
      <t>イッキュウ</t>
    </rPh>
    <rPh sb="22" eb="24">
      <t>ニキュウ</t>
    </rPh>
    <phoneticPr fontId="2"/>
  </si>
  <si>
    <t>給与所得者等確認</t>
    <rPh sb="0" eb="2">
      <t>キュウヨ</t>
    </rPh>
    <rPh sb="2" eb="4">
      <t>ショトク</t>
    </rPh>
    <rPh sb="4" eb="5">
      <t>シャ</t>
    </rPh>
    <rPh sb="5" eb="6">
      <t>トウ</t>
    </rPh>
    <rPh sb="6" eb="8">
      <t>カクニン</t>
    </rPh>
    <phoneticPr fontId="2"/>
  </si>
  <si>
    <t>給与所得者等該当</t>
    <rPh sb="0" eb="2">
      <t>キュウヨ</t>
    </rPh>
    <rPh sb="2" eb="4">
      <t>ショトク</t>
    </rPh>
    <rPh sb="4" eb="5">
      <t>シャ</t>
    </rPh>
    <rPh sb="5" eb="6">
      <t>トウ</t>
    </rPh>
    <rPh sb="6" eb="8">
      <t>ガイトウ</t>
    </rPh>
    <phoneticPr fontId="2"/>
  </si>
  <si>
    <t>該当なし</t>
    <rPh sb="0" eb="2">
      <t>ガイトウ</t>
    </rPh>
    <phoneticPr fontId="2"/>
  </si>
  <si>
    <t>2割軽減</t>
    <rPh sb="1" eb="2">
      <t>ワリ</t>
    </rPh>
    <rPh sb="2" eb="4">
      <t>ケイゲン</t>
    </rPh>
    <phoneticPr fontId="2"/>
  </si>
  <si>
    <t>5割軽減</t>
    <rPh sb="1" eb="2">
      <t>ワリ</t>
    </rPh>
    <rPh sb="2" eb="4">
      <t>ケイゲン</t>
    </rPh>
    <phoneticPr fontId="2"/>
  </si>
  <si>
    <t>7割軽減</t>
    <rPh sb="1" eb="2">
      <t>ワリ</t>
    </rPh>
    <rPh sb="2" eb="4">
      <t>ケイゲン</t>
    </rPh>
    <phoneticPr fontId="2"/>
  </si>
  <si>
    <t>⇒</t>
    <phoneticPr fontId="2"/>
  </si>
  <si>
    <t>年金特別控除（軽減用）</t>
    <rPh sb="0" eb="2">
      <t>ネンキン</t>
    </rPh>
    <rPh sb="2" eb="4">
      <t>トクベツ</t>
    </rPh>
    <rPh sb="4" eb="6">
      <t>コウジョ</t>
    </rPh>
    <rPh sb="7" eb="9">
      <t>ケイゲン</t>
    </rPh>
    <rPh sb="9" eb="10">
      <t>ヨウ</t>
    </rPh>
    <phoneticPr fontId="2"/>
  </si>
  <si>
    <t>公的年金特別控除額</t>
    <rPh sb="0" eb="2">
      <t>コウテキ</t>
    </rPh>
    <rPh sb="2" eb="4">
      <t>ネンキン</t>
    </rPh>
    <rPh sb="4" eb="6">
      <t>トクベツ</t>
    </rPh>
    <rPh sb="6" eb="8">
      <t>コウジョ</t>
    </rPh>
    <rPh sb="8" eb="9">
      <t>ガク</t>
    </rPh>
    <phoneticPr fontId="2"/>
  </si>
  <si>
    <t>〇均等割の軽減について</t>
    <rPh sb="1" eb="4">
      <t>キントウワ</t>
    </rPh>
    <rPh sb="5" eb="7">
      <t>ケイゲン</t>
    </rPh>
    <phoneticPr fontId="2"/>
  </si>
  <si>
    <t>〇何月に資格を取得されますか？</t>
    <rPh sb="1" eb="3">
      <t>ナンガツ</t>
    </rPh>
    <rPh sb="4" eb="6">
      <t>シカク</t>
    </rPh>
    <rPh sb="7" eb="9">
      <t>シュトク</t>
    </rPh>
    <phoneticPr fontId="2"/>
  </si>
  <si>
    <t>月取得</t>
    <rPh sb="0" eb="1">
      <t>ツキ</t>
    </rPh>
    <rPh sb="1" eb="3">
      <t>シュトク</t>
    </rPh>
    <phoneticPr fontId="2"/>
  </si>
  <si>
    <t>世帯主所得</t>
    <rPh sb="0" eb="2">
      <t>セタイ</t>
    </rPh>
    <phoneticPr fontId="2"/>
  </si>
  <si>
    <t>後期高齢者医療保険料年額計算（概算）</t>
    <rPh sb="0" eb="2">
      <t>コウキ</t>
    </rPh>
    <rPh sb="2" eb="5">
      <t>コウレイシャ</t>
    </rPh>
    <rPh sb="5" eb="7">
      <t>イリョウ</t>
    </rPh>
    <rPh sb="7" eb="9">
      <t>ホケン</t>
    </rPh>
    <rPh sb="9" eb="10">
      <t>リョウ</t>
    </rPh>
    <phoneticPr fontId="2"/>
  </si>
  <si>
    <t>軽減算定人数</t>
    <rPh sb="0" eb="2">
      <t>ケイゲン</t>
    </rPh>
    <rPh sb="2" eb="4">
      <t>サンテイ</t>
    </rPh>
    <rPh sb="4" eb="6">
      <t>ニンズウ</t>
    </rPh>
    <phoneticPr fontId="2"/>
  </si>
  <si>
    <t>軽減判定合計所得</t>
    <rPh sb="0" eb="2">
      <t>ケイゲン</t>
    </rPh>
    <rPh sb="2" eb="4">
      <t>ハンテイ</t>
    </rPh>
    <rPh sb="4" eb="6">
      <t>ゴウケイ</t>
    </rPh>
    <rPh sb="6" eb="8">
      <t>ショトク</t>
    </rPh>
    <phoneticPr fontId="2"/>
  </si>
  <si>
    <t>氏名</t>
    <phoneticPr fontId="2"/>
  </si>
  <si>
    <t>(例)昭和20年1月1日生まれの場合、1945/1/1と入力してください。</t>
    <rPh sb="1" eb="2">
      <t>レイ</t>
    </rPh>
    <rPh sb="3" eb="5">
      <t>ショウワ</t>
    </rPh>
    <rPh sb="7" eb="8">
      <t>ネン</t>
    </rPh>
    <rPh sb="9" eb="10">
      <t>ガツ</t>
    </rPh>
    <rPh sb="11" eb="12">
      <t>ニチ</t>
    </rPh>
    <rPh sb="12" eb="13">
      <t>ウ</t>
    </rPh>
    <rPh sb="16" eb="18">
      <t>バアイ</t>
    </rPh>
    <rPh sb="28" eb="30">
      <t>ニュウリョク</t>
    </rPh>
    <phoneticPr fontId="2"/>
  </si>
  <si>
    <t>軽減判定用合計所得</t>
    <rPh sb="0" eb="2">
      <t>ケイゲン</t>
    </rPh>
    <rPh sb="2" eb="5">
      <t>ハンテイヨウ</t>
    </rPh>
    <rPh sb="5" eb="7">
      <t>ゴウケイ</t>
    </rPh>
    <rPh sb="7" eb="9">
      <t>ショトク</t>
    </rPh>
    <phoneticPr fontId="2"/>
  </si>
  <si>
    <t>x</t>
    <phoneticPr fontId="2"/>
  </si>
  <si>
    <t>1,900,000～3,599,999</t>
  </si>
  <si>
    <t>3,600,000～6,599,999</t>
  </si>
  <si>
    <t>6,600,000～8,499,999</t>
  </si>
  <si>
    <t>8,500,000～</t>
  </si>
  <si>
    <t>～650,999</t>
    <phoneticPr fontId="2"/>
  </si>
  <si>
    <t>651,000～1899999</t>
    <phoneticPr fontId="2"/>
  </si>
  <si>
    <t>R8.1.1時点年齢</t>
  </si>
  <si>
    <t>R8.1.1時点年齢</t>
    <rPh sb="6" eb="8">
      <t>ジテン</t>
    </rPh>
    <rPh sb="8" eb="10">
      <t>ネンレイ</t>
    </rPh>
    <phoneticPr fontId="2"/>
  </si>
  <si>
    <t>子ども・子育て支援金分</t>
    <rPh sb="0" eb="1">
      <t>コ</t>
    </rPh>
    <rPh sb="4" eb="6">
      <t>コソダ</t>
    </rPh>
    <rPh sb="7" eb="11">
      <t>シエンキンブン</t>
    </rPh>
    <phoneticPr fontId="8"/>
  </si>
  <si>
    <t>こども分</t>
    <rPh sb="3" eb="4">
      <t>ブン</t>
    </rPh>
    <phoneticPr fontId="2"/>
  </si>
  <si>
    <t>医療分</t>
    <rPh sb="0" eb="3">
      <t>イリョウブン</t>
    </rPh>
    <phoneticPr fontId="2"/>
  </si>
  <si>
    <t>7.2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</si>
</sst>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176" formatCode="#,##0&quot;円&quot;"/>
    <numFmt numFmtId="177" formatCode="[$-411]ggge&quot;年&quot;m&quot;月&quot;d&quot;日&quot;;@"/>
    <numFmt numFmtId="178" formatCode="#,##0&quot;歳&quot;"/>
    <numFmt numFmtId="179" formatCode="0;\-0;;@"/>
    <numFmt numFmtId="180" formatCode="yyyy&quot;年&quot;m&quot;月&quot;;@"/>
    <numFmt numFmtId="181" formatCode="0_);[Red]\(0\)"/>
    <numFmt numFmtId="182" formatCode="[$-411]ge\.m\.d;@"/>
  </numFmts>
  <fonts count="27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u/>
      <sz val="11"/>
      <color rgb="FFFF0000"/>
      <name val="HG丸ｺﾞｼｯｸM-PRO"/>
      <family val="3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0"/>
      <color indexed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color indexed="10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8"/>
      <color indexed="10"/>
      <name val="HG丸ｺﾞｼｯｸM-PRO"/>
      <family val="3"/>
      <charset val="128"/>
    </font>
    <font>
      <sz val="10"/>
      <color indexed="22"/>
      <name val="HG丸ｺﾞｼｯｸM-PRO"/>
      <family val="3"/>
      <charset val="128"/>
    </font>
    <font>
      <sz val="8"/>
      <color indexed="10"/>
      <name val="HG丸ｺﾞｼｯｸM-PRO"/>
      <family val="3"/>
      <charset val="128"/>
    </font>
    <font>
      <b/>
      <sz val="10"/>
      <color indexed="1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sz val="6"/>
      <name val="HG丸ｺﾞｼｯｸM-PRO"/>
      <family val="3"/>
      <charset val="128"/>
    </font>
    <font>
      <b/>
      <sz val="10"/>
      <color indexed="12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18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9" fillId="0" borderId="0"/>
  </cellStyleXfs>
  <cellXfs count="179">
    <xf numFmtId="0" fontId="0" fillId="0" borderId="0" xfId="0"/>
    <xf numFmtId="0" fontId="3" fillId="0" borderId="0" xfId="0" applyFont="1"/>
    <xf numFmtId="178" fontId="4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Border="1"/>
    <xf numFmtId="176" fontId="3" fillId="0" borderId="1" xfId="0" applyNumberFormat="1" applyFont="1" applyBorder="1"/>
    <xf numFmtId="177" fontId="3" fillId="0" borderId="0" xfId="0" applyNumberFormat="1" applyFont="1" applyBorder="1"/>
    <xf numFmtId="176" fontId="3" fillId="0" borderId="0" xfId="0" applyNumberFormat="1" applyFont="1" applyBorder="1"/>
    <xf numFmtId="176" fontId="3" fillId="0" borderId="0" xfId="1" applyNumberFormat="1" applyFont="1" applyBorder="1" applyAlignment="1"/>
    <xf numFmtId="0" fontId="5" fillId="0" borderId="0" xfId="0" applyFont="1"/>
    <xf numFmtId="0" fontId="3" fillId="0" borderId="1" xfId="0" applyFont="1" applyBorder="1"/>
    <xf numFmtId="38" fontId="3" fillId="0" borderId="1" xfId="1" applyFont="1" applyBorder="1" applyAlignment="1"/>
    <xf numFmtId="176" fontId="3" fillId="0" borderId="1" xfId="1" applyNumberFormat="1" applyFont="1" applyBorder="1" applyAlignment="1"/>
    <xf numFmtId="176" fontId="3" fillId="0" borderId="0" xfId="0" applyNumberFormat="1" applyFont="1"/>
    <xf numFmtId="176" fontId="6" fillId="0" borderId="1" xfId="0" applyNumberFormat="1" applyFont="1" applyBorder="1"/>
    <xf numFmtId="0" fontId="3" fillId="0" borderId="2" xfId="0" applyFont="1" applyFill="1" applyBorder="1"/>
    <xf numFmtId="176" fontId="6" fillId="0" borderId="1" xfId="1" applyNumberFormat="1" applyFont="1" applyBorder="1" applyAlignment="1"/>
    <xf numFmtId="176" fontId="6" fillId="0" borderId="3" xfId="0" applyNumberFormat="1" applyFont="1" applyBorder="1"/>
    <xf numFmtId="0" fontId="3" fillId="0" borderId="3" xfId="0" applyFont="1" applyBorder="1"/>
    <xf numFmtId="0" fontId="3" fillId="0" borderId="0" xfId="0" applyFont="1" applyBorder="1"/>
    <xf numFmtId="0" fontId="3" fillId="0" borderId="4" xfId="0" applyFont="1" applyBorder="1"/>
    <xf numFmtId="176" fontId="3" fillId="0" borderId="0" xfId="1" applyNumberFormat="1" applyFont="1" applyFill="1" applyBorder="1" applyAlignment="1"/>
    <xf numFmtId="178" fontId="4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/>
    <xf numFmtId="177" fontId="3" fillId="2" borderId="1" xfId="0" applyNumberFormat="1" applyFont="1" applyFill="1" applyBorder="1" applyProtection="1">
      <protection locked="0"/>
    </xf>
    <xf numFmtId="176" fontId="3" fillId="2" borderId="1" xfId="1" applyNumberFormat="1" applyFont="1" applyFill="1" applyBorder="1" applyAlignment="1" applyProtection="1">
      <protection locked="0"/>
    </xf>
    <xf numFmtId="176" fontId="3" fillId="2" borderId="1" xfId="1" applyNumberFormat="1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vertical="center" shrinkToFit="1"/>
      <protection locked="0"/>
    </xf>
    <xf numFmtId="0" fontId="4" fillId="0" borderId="0" xfId="0" applyFont="1" applyFill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7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14" fillId="0" borderId="0" xfId="0" applyFont="1" applyFill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vertical="center" shrinkToFit="1"/>
    </xf>
    <xf numFmtId="41" fontId="14" fillId="0" borderId="0" xfId="2" applyNumberFormat="1" applyFont="1" applyFill="1" applyBorder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41" fontId="16" fillId="0" borderId="0" xfId="2" applyNumberFormat="1" applyFont="1" applyFill="1" applyBorder="1" applyAlignment="1" applyProtection="1">
      <alignment horizontal="center" vertical="center"/>
    </xf>
    <xf numFmtId="0" fontId="17" fillId="0" borderId="0" xfId="0" applyFont="1" applyFill="1" applyAlignment="1" applyProtection="1">
      <alignment vertical="center"/>
    </xf>
    <xf numFmtId="0" fontId="18" fillId="0" borderId="0" xfId="0" applyFont="1" applyFill="1" applyAlignment="1" applyProtection="1">
      <alignment vertical="center"/>
    </xf>
    <xf numFmtId="41" fontId="16" fillId="0" borderId="0" xfId="2" applyNumberFormat="1" applyFont="1" applyFill="1" applyBorder="1" applyAlignment="1" applyProtection="1">
      <alignment vertical="center"/>
    </xf>
    <xf numFmtId="41" fontId="19" fillId="0" borderId="0" xfId="2" applyNumberFormat="1" applyFont="1" applyFill="1" applyBorder="1" applyAlignment="1" applyProtection="1">
      <alignment vertical="center"/>
    </xf>
    <xf numFmtId="0" fontId="4" fillId="4" borderId="0" xfId="0" applyFont="1" applyFill="1" applyAlignment="1" applyProtection="1">
      <alignment vertical="center"/>
    </xf>
    <xf numFmtId="41" fontId="20" fillId="0" borderId="0" xfId="2" applyNumberFormat="1" applyFont="1" applyFill="1" applyBorder="1" applyAlignment="1" applyProtection="1">
      <alignment vertical="center"/>
    </xf>
    <xf numFmtId="41" fontId="4" fillId="0" borderId="0" xfId="0" applyNumberFormat="1" applyFont="1" applyAlignment="1" applyProtection="1">
      <alignment vertical="center"/>
    </xf>
    <xf numFmtId="0" fontId="4" fillId="0" borderId="0" xfId="0" quotePrefix="1" applyFont="1" applyFill="1" applyAlignment="1" applyProtection="1">
      <alignment vertical="center"/>
    </xf>
    <xf numFmtId="41" fontId="4" fillId="0" borderId="0" xfId="2" applyNumberFormat="1" applyFont="1" applyFill="1" applyBorder="1" applyAlignment="1" applyProtection="1">
      <alignment vertical="center"/>
    </xf>
    <xf numFmtId="41" fontId="4" fillId="0" borderId="0" xfId="2" applyNumberFormat="1" applyFont="1" applyFill="1" applyBorder="1" applyAlignment="1" applyProtection="1">
      <alignment horizontal="right" vertical="center"/>
    </xf>
    <xf numFmtId="0" fontId="16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right" vertical="center"/>
    </xf>
    <xf numFmtId="38" fontId="16" fillId="0" borderId="0" xfId="2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right" vertical="center"/>
    </xf>
    <xf numFmtId="41" fontId="16" fillId="0" borderId="0" xfId="0" applyNumberFormat="1" applyFont="1" applyFill="1" applyBorder="1" applyAlignment="1" applyProtection="1">
      <alignment horizontal="left" vertical="center"/>
    </xf>
    <xf numFmtId="38" fontId="21" fillId="0" borderId="0" xfId="2" applyFont="1" applyBorder="1" applyAlignment="1" applyProtection="1">
      <alignment vertical="center"/>
    </xf>
    <xf numFmtId="41" fontId="16" fillId="0" borderId="0" xfId="2" applyNumberFormat="1" applyFont="1" applyFill="1" applyBorder="1" applyAlignment="1" applyProtection="1">
      <alignment horizontal="center" vertical="center" shrinkToFit="1"/>
    </xf>
    <xf numFmtId="180" fontId="4" fillId="0" borderId="0" xfId="0" applyNumberFormat="1" applyFont="1" applyFill="1" applyAlignment="1" applyProtection="1">
      <alignment vertical="center"/>
    </xf>
    <xf numFmtId="57" fontId="4" fillId="0" borderId="0" xfId="0" applyNumberFormat="1" applyFont="1" applyAlignment="1" applyProtection="1">
      <alignment vertical="center"/>
    </xf>
    <xf numFmtId="0" fontId="23" fillId="0" borderId="0" xfId="0" applyFont="1" applyFill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shrinkToFit="1"/>
    </xf>
    <xf numFmtId="0" fontId="13" fillId="0" borderId="0" xfId="0" applyFont="1" applyFill="1" applyAlignment="1" applyProtection="1">
      <alignment horizontal="right" vertical="top"/>
    </xf>
    <xf numFmtId="41" fontId="11" fillId="0" borderId="0" xfId="2" applyNumberFormat="1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 applyProtection="1">
      <alignment horizontal="center" vertical="center" shrinkToFit="1"/>
    </xf>
    <xf numFmtId="0" fontId="16" fillId="0" borderId="0" xfId="0" applyFont="1" applyFill="1" applyAlignment="1" applyProtection="1">
      <alignment horizontal="right" vertical="center"/>
    </xf>
    <xf numFmtId="41" fontId="16" fillId="0" borderId="7" xfId="0" applyNumberFormat="1" applyFont="1" applyFill="1" applyBorder="1" applyAlignment="1" applyProtection="1">
      <alignment horizontal="center" vertical="center"/>
    </xf>
    <xf numFmtId="0" fontId="16" fillId="0" borderId="7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vertical="center" shrinkToFit="1"/>
    </xf>
    <xf numFmtId="0" fontId="4" fillId="0" borderId="3" xfId="0" applyFont="1" applyBorder="1" applyAlignment="1" applyProtection="1">
      <alignment vertical="center" shrinkToFit="1"/>
    </xf>
    <xf numFmtId="0" fontId="4" fillId="0" borderId="3" xfId="0" applyFont="1" applyBorder="1" applyAlignment="1" applyProtection="1">
      <alignment vertical="center"/>
    </xf>
    <xf numFmtId="58" fontId="4" fillId="0" borderId="0" xfId="0" applyNumberFormat="1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horizontal="center" vertical="center"/>
    </xf>
    <xf numFmtId="0" fontId="12" fillId="0" borderId="9" xfId="0" applyFont="1" applyFill="1" applyBorder="1" applyAlignment="1" applyProtection="1">
      <alignment horizontal="center" vertical="center"/>
    </xf>
    <xf numFmtId="41" fontId="16" fillId="0" borderId="9" xfId="2" applyNumberFormat="1" applyFont="1" applyFill="1" applyBorder="1" applyAlignment="1" applyProtection="1">
      <alignment horizontal="center" vertical="center" shrinkToFit="1"/>
    </xf>
    <xf numFmtId="177" fontId="4" fillId="0" borderId="0" xfId="0" applyNumberFormat="1" applyFont="1" applyFill="1" applyAlignment="1" applyProtection="1">
      <alignment vertical="center" shrinkToFit="1"/>
    </xf>
    <xf numFmtId="181" fontId="4" fillId="0" borderId="0" xfId="0" applyNumberFormat="1" applyFont="1" applyFill="1" applyAlignment="1" applyProtection="1">
      <alignment vertical="center" shrinkToFit="1"/>
    </xf>
    <xf numFmtId="0" fontId="4" fillId="0" borderId="0" xfId="0" applyFont="1" applyFill="1" applyBorder="1" applyAlignment="1" applyProtection="1">
      <alignment horizontal="center" vertical="center" shrinkToFit="1"/>
    </xf>
    <xf numFmtId="0" fontId="13" fillId="0" borderId="0" xfId="0" applyFont="1" applyFill="1" applyBorder="1" applyAlignment="1" applyProtection="1">
      <alignment horizontal="right" vertical="center"/>
    </xf>
    <xf numFmtId="41" fontId="16" fillId="0" borderId="0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177" fontId="3" fillId="0" borderId="1" xfId="0" applyNumberFormat="1" applyFont="1" applyBorder="1" applyAlignment="1">
      <alignment shrinkToFit="1"/>
    </xf>
    <xf numFmtId="182" fontId="4" fillId="0" borderId="0" xfId="0" applyNumberFormat="1" applyFont="1" applyFill="1" applyAlignment="1" applyProtection="1">
      <alignment vertical="center"/>
    </xf>
    <xf numFmtId="182" fontId="4" fillId="0" borderId="0" xfId="0" applyNumberFormat="1" applyFont="1" applyFill="1" applyAlignment="1" applyProtection="1">
      <alignment horizontal="left" vertical="center"/>
    </xf>
    <xf numFmtId="38" fontId="4" fillId="0" borderId="0" xfId="1" applyFont="1" applyAlignment="1" applyProtection="1">
      <alignment horizontal="center" vertical="center"/>
    </xf>
    <xf numFmtId="41" fontId="24" fillId="0" borderId="0" xfId="2" applyNumberFormat="1" applyFont="1" applyFill="1" applyAlignment="1" applyProtection="1">
      <alignment horizontal="center" vertical="center" shrinkToFit="1"/>
    </xf>
    <xf numFmtId="41" fontId="16" fillId="0" borderId="0" xfId="0" applyNumberFormat="1" applyFont="1" applyFill="1" applyBorder="1" applyAlignment="1" applyProtection="1">
      <alignment horizontal="center" vertical="center" shrinkToFit="1"/>
    </xf>
    <xf numFmtId="0" fontId="13" fillId="0" borderId="0" xfId="0" applyFont="1" applyFill="1" applyBorder="1" applyAlignment="1" applyProtection="1">
      <alignment horizontal="right" vertical="center"/>
    </xf>
    <xf numFmtId="41" fontId="4" fillId="4" borderId="0" xfId="2" applyNumberFormat="1" applyFont="1" applyFill="1" applyBorder="1" applyAlignment="1" applyProtection="1">
      <alignment horizontal="center" vertical="center" shrinkToFit="1"/>
    </xf>
    <xf numFmtId="3" fontId="3" fillId="0" borderId="1" xfId="0" applyNumberFormat="1" applyFont="1" applyBorder="1"/>
    <xf numFmtId="0" fontId="11" fillId="0" borderId="0" xfId="0" applyFont="1" applyFill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 shrinkToFit="1"/>
    </xf>
    <xf numFmtId="0" fontId="4" fillId="0" borderId="1" xfId="0" quotePrefix="1" applyFont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15" fillId="0" borderId="13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right" vertical="center"/>
    </xf>
    <xf numFmtId="41" fontId="25" fillId="0" borderId="0" xfId="2" applyNumberFormat="1" applyFont="1" applyFill="1" applyBorder="1" applyAlignment="1" applyProtection="1">
      <alignment horizontal="center" vertical="center" shrinkToFit="1"/>
    </xf>
    <xf numFmtId="179" fontId="12" fillId="0" borderId="0" xfId="3" applyNumberFormat="1" applyFont="1" applyFill="1" applyBorder="1" applyAlignment="1" applyProtection="1">
      <alignment horizontal="center" vertical="center"/>
    </xf>
    <xf numFmtId="57" fontId="4" fillId="0" borderId="0" xfId="0" applyNumberFormat="1" applyFont="1" applyFill="1" applyBorder="1" applyAlignment="1" applyProtection="1">
      <alignment horizontal="center" vertical="center" shrinkToFit="1"/>
    </xf>
    <xf numFmtId="179" fontId="12" fillId="0" borderId="9" xfId="3" applyNumberFormat="1" applyFont="1" applyFill="1" applyBorder="1" applyAlignment="1" applyProtection="1">
      <alignment horizontal="center" vertical="center"/>
    </xf>
    <xf numFmtId="57" fontId="4" fillId="0" borderId="9" xfId="0" applyNumberFormat="1" applyFont="1" applyFill="1" applyBorder="1" applyAlignment="1" applyProtection="1">
      <alignment horizontal="center" vertical="center" shrinkToFit="1"/>
    </xf>
    <xf numFmtId="41" fontId="25" fillId="0" borderId="9" xfId="2" applyNumberFormat="1" applyFont="1" applyFill="1" applyBorder="1" applyAlignment="1" applyProtection="1">
      <alignment horizontal="center" vertical="center" shrinkToFit="1"/>
    </xf>
    <xf numFmtId="58" fontId="4" fillId="0" borderId="5" xfId="0" applyNumberFormat="1" applyFont="1" applyFill="1" applyBorder="1" applyAlignment="1" applyProtection="1">
      <alignment horizontal="center" vertical="center"/>
    </xf>
    <xf numFmtId="58" fontId="4" fillId="0" borderId="6" xfId="0" applyNumberFormat="1" applyFont="1" applyFill="1" applyBorder="1" applyAlignment="1" applyProtection="1">
      <alignment horizontal="center" vertical="center"/>
    </xf>
    <xf numFmtId="58" fontId="4" fillId="0" borderId="4" xfId="0" applyNumberFormat="1" applyFont="1" applyFill="1" applyBorder="1" applyAlignment="1" applyProtection="1">
      <alignment horizontal="center" vertical="center"/>
    </xf>
    <xf numFmtId="41" fontId="16" fillId="0" borderId="14" xfId="2" applyNumberFormat="1" applyFont="1" applyFill="1" applyBorder="1" applyAlignment="1" applyProtection="1">
      <alignment vertical="center" shrinkToFit="1"/>
    </xf>
    <xf numFmtId="41" fontId="16" fillId="0" borderId="15" xfId="2" applyNumberFormat="1" applyFont="1" applyFill="1" applyBorder="1" applyAlignment="1" applyProtection="1">
      <alignment vertical="center" shrinkToFit="1"/>
    </xf>
    <xf numFmtId="41" fontId="16" fillId="0" borderId="16" xfId="2" applyNumberFormat="1" applyFont="1" applyFill="1" applyBorder="1" applyAlignment="1" applyProtection="1">
      <alignment vertical="center" shrinkToFit="1"/>
    </xf>
    <xf numFmtId="0" fontId="13" fillId="0" borderId="0" xfId="0" applyFont="1" applyFill="1" applyAlignment="1" applyProtection="1">
      <alignment horizontal="right" vertical="center"/>
    </xf>
    <xf numFmtId="0" fontId="13" fillId="0" borderId="0" xfId="0" applyFont="1" applyFill="1" applyBorder="1" applyAlignment="1" applyProtection="1">
      <alignment horizontal="right" vertical="center"/>
    </xf>
    <xf numFmtId="41" fontId="16" fillId="0" borderId="0" xfId="0" applyNumberFormat="1" applyFont="1" applyFill="1" applyBorder="1" applyAlignment="1" applyProtection="1">
      <alignment horizontal="center" vertical="center" shrinkToFit="1"/>
    </xf>
    <xf numFmtId="41" fontId="22" fillId="0" borderId="17" xfId="2" applyNumberFormat="1" applyFont="1" applyFill="1" applyBorder="1" applyAlignment="1" applyProtection="1">
      <alignment horizontal="center" vertical="center" shrinkToFit="1"/>
    </xf>
    <xf numFmtId="41" fontId="16" fillId="0" borderId="17" xfId="2" applyNumberFormat="1" applyFont="1" applyFill="1" applyBorder="1" applyAlignment="1" applyProtection="1">
      <alignment horizontal="center" vertical="center" shrinkToFit="1"/>
    </xf>
    <xf numFmtId="41" fontId="16" fillId="0" borderId="0" xfId="0" applyNumberFormat="1" applyFont="1" applyFill="1" applyBorder="1" applyAlignment="1" applyProtection="1">
      <alignment horizontal="center" vertical="center"/>
    </xf>
    <xf numFmtId="0" fontId="11" fillId="3" borderId="0" xfId="0" applyFont="1" applyFill="1" applyAlignment="1" applyProtection="1">
      <alignment horizontal="center" vertical="center"/>
    </xf>
    <xf numFmtId="0" fontId="22" fillId="0" borderId="17" xfId="0" applyFont="1" applyFill="1" applyBorder="1" applyAlignment="1" applyProtection="1">
      <alignment horizontal="center" vertical="center" shrinkToFit="1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</xf>
    <xf numFmtId="41" fontId="4" fillId="0" borderId="0" xfId="0" applyNumberFormat="1" applyFont="1" applyFill="1" applyBorder="1" applyAlignment="1" applyProtection="1">
      <alignment horizontal="center" vertical="center" shrinkToFit="1"/>
    </xf>
    <xf numFmtId="0" fontId="4" fillId="0" borderId="0" xfId="0" applyFont="1" applyFill="1" applyBorder="1" applyAlignment="1" applyProtection="1">
      <alignment horizontal="center" vertical="center" shrinkToFit="1"/>
    </xf>
    <xf numFmtId="0" fontId="13" fillId="0" borderId="8" xfId="0" applyFont="1" applyFill="1" applyBorder="1" applyAlignment="1" applyProtection="1">
      <alignment horizontal="center" vertical="center"/>
    </xf>
    <xf numFmtId="0" fontId="13" fillId="0" borderId="9" xfId="0" applyFont="1" applyFill="1" applyBorder="1" applyAlignment="1" applyProtection="1">
      <alignment horizontal="center" vertical="center"/>
    </xf>
    <xf numFmtId="0" fontId="13" fillId="0" borderId="10" xfId="0" applyFont="1" applyFill="1" applyBorder="1" applyAlignment="1" applyProtection="1">
      <alignment horizontal="center" vertical="center"/>
    </xf>
    <xf numFmtId="0" fontId="13" fillId="0" borderId="11" xfId="0" applyFont="1" applyFill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 vertical="center"/>
    </xf>
    <xf numFmtId="0" fontId="13" fillId="0" borderId="12" xfId="0" applyFont="1" applyFill="1" applyBorder="1" applyAlignment="1" applyProtection="1">
      <alignment horizontal="center" vertical="center"/>
    </xf>
    <xf numFmtId="41" fontId="16" fillId="0" borderId="5" xfId="0" applyNumberFormat="1" applyFont="1" applyFill="1" applyBorder="1" applyAlignment="1" applyProtection="1">
      <alignment horizontal="center" vertical="center" shrinkToFit="1"/>
    </xf>
    <xf numFmtId="0" fontId="16" fillId="0" borderId="6" xfId="0" applyFont="1" applyFill="1" applyBorder="1" applyAlignment="1" applyProtection="1">
      <alignment horizontal="center" vertical="center" shrinkToFit="1"/>
    </xf>
    <xf numFmtId="0" fontId="16" fillId="0" borderId="4" xfId="0" applyFont="1" applyFill="1" applyBorder="1" applyAlignment="1" applyProtection="1">
      <alignment horizontal="center" vertical="center" shrinkToFit="1"/>
    </xf>
    <xf numFmtId="41" fontId="16" fillId="0" borderId="14" xfId="0" applyNumberFormat="1" applyFont="1" applyFill="1" applyBorder="1" applyAlignment="1" applyProtection="1">
      <alignment horizontal="center" vertical="center" shrinkToFit="1"/>
    </xf>
    <xf numFmtId="0" fontId="16" fillId="0" borderId="15" xfId="0" applyFont="1" applyFill="1" applyBorder="1" applyAlignment="1" applyProtection="1">
      <alignment horizontal="center" vertical="center" shrinkToFit="1"/>
    </xf>
    <xf numFmtId="0" fontId="16" fillId="0" borderId="16" xfId="0" applyFont="1" applyFill="1" applyBorder="1" applyAlignment="1" applyProtection="1">
      <alignment horizontal="center" vertical="center" shrinkToFit="1"/>
    </xf>
    <xf numFmtId="0" fontId="16" fillId="0" borderId="0" xfId="0" applyFont="1" applyFill="1" applyBorder="1" applyAlignment="1" applyProtection="1">
      <alignment horizontal="center" vertical="center" shrinkToFit="1"/>
    </xf>
    <xf numFmtId="41" fontId="24" fillId="0" borderId="0" xfId="2" applyNumberFormat="1" applyFont="1" applyFill="1" applyAlignment="1" applyProtection="1">
      <alignment horizontal="center" vertical="center" shrinkToFit="1"/>
    </xf>
    <xf numFmtId="41" fontId="16" fillId="0" borderId="26" xfId="2" applyNumberFormat="1" applyFont="1" applyFill="1" applyBorder="1" applyAlignment="1" applyProtection="1">
      <alignment horizontal="center" vertical="center" shrinkToFit="1"/>
    </xf>
    <xf numFmtId="41" fontId="16" fillId="0" borderId="27" xfId="2" applyNumberFormat="1" applyFont="1" applyFill="1" applyBorder="1" applyAlignment="1" applyProtection="1">
      <alignment horizontal="center" vertical="center" shrinkToFit="1"/>
    </xf>
    <xf numFmtId="41" fontId="16" fillId="0" borderId="28" xfId="2" applyNumberFormat="1" applyFont="1" applyFill="1" applyBorder="1" applyAlignment="1" applyProtection="1">
      <alignment horizontal="center" vertical="center" shrinkToFit="1"/>
    </xf>
    <xf numFmtId="0" fontId="22" fillId="0" borderId="26" xfId="0" applyFont="1" applyFill="1" applyBorder="1" applyAlignment="1" applyProtection="1">
      <alignment horizontal="center" vertical="center" shrinkToFit="1"/>
    </xf>
    <xf numFmtId="0" fontId="22" fillId="0" borderId="28" xfId="0" applyFont="1" applyFill="1" applyBorder="1" applyAlignment="1" applyProtection="1">
      <alignment horizontal="center" vertical="center" shrinkToFit="1"/>
    </xf>
    <xf numFmtId="41" fontId="22" fillId="0" borderId="26" xfId="2" applyNumberFormat="1" applyFont="1" applyFill="1" applyBorder="1" applyAlignment="1" applyProtection="1">
      <alignment horizontal="center" vertical="center" shrinkToFit="1"/>
    </xf>
    <xf numFmtId="41" fontId="22" fillId="0" borderId="27" xfId="2" applyNumberFormat="1" applyFont="1" applyFill="1" applyBorder="1" applyAlignment="1" applyProtection="1">
      <alignment horizontal="center" vertical="center" shrinkToFit="1"/>
    </xf>
    <xf numFmtId="41" fontId="22" fillId="0" borderId="28" xfId="2" applyNumberFormat="1" applyFont="1" applyFill="1" applyBorder="1" applyAlignment="1" applyProtection="1">
      <alignment horizontal="center" vertical="center" shrinkToFit="1"/>
    </xf>
    <xf numFmtId="41" fontId="16" fillId="0" borderId="6" xfId="0" applyNumberFormat="1" applyFont="1" applyFill="1" applyBorder="1" applyAlignment="1" applyProtection="1">
      <alignment horizontal="center" vertical="center" shrinkToFit="1"/>
    </xf>
    <xf numFmtId="41" fontId="16" fillId="0" borderId="4" xfId="0" applyNumberFormat="1" applyFont="1" applyFill="1" applyBorder="1" applyAlignment="1" applyProtection="1">
      <alignment horizontal="center" vertical="center" shrinkToFit="1"/>
    </xf>
    <xf numFmtId="41" fontId="16" fillId="0" borderId="14" xfId="2" applyNumberFormat="1" applyFont="1" applyFill="1" applyBorder="1" applyAlignment="1" applyProtection="1">
      <alignment vertical="center"/>
    </xf>
    <xf numFmtId="41" fontId="16" fillId="0" borderId="15" xfId="2" applyNumberFormat="1" applyFont="1" applyFill="1" applyBorder="1" applyAlignment="1" applyProtection="1">
      <alignment vertical="center"/>
    </xf>
    <xf numFmtId="41" fontId="16" fillId="0" borderId="16" xfId="2" applyNumberFormat="1" applyFont="1" applyFill="1" applyBorder="1" applyAlignment="1" applyProtection="1">
      <alignment vertical="center"/>
    </xf>
    <xf numFmtId="41" fontId="4" fillId="4" borderId="0" xfId="2" applyNumberFormat="1" applyFont="1" applyFill="1" applyBorder="1" applyAlignment="1" applyProtection="1">
      <alignment horizontal="center" vertical="center" shrinkToFit="1"/>
    </xf>
    <xf numFmtId="41" fontId="16" fillId="4" borderId="0" xfId="2" applyNumberFormat="1" applyFont="1" applyFill="1" applyBorder="1" applyAlignment="1" applyProtection="1">
      <alignment horizontal="center" vertical="center"/>
    </xf>
    <xf numFmtId="38" fontId="4" fillId="0" borderId="0" xfId="1" applyFont="1" applyAlignment="1" applyProtection="1">
      <alignment horizontal="center" vertical="center"/>
    </xf>
    <xf numFmtId="179" fontId="4" fillId="2" borderId="8" xfId="3" applyNumberFormat="1" applyFont="1" applyFill="1" applyBorder="1" applyAlignment="1" applyProtection="1">
      <alignment horizontal="center" vertical="center"/>
    </xf>
    <xf numFmtId="179" fontId="4" fillId="2" borderId="9" xfId="3" applyNumberFormat="1" applyFont="1" applyFill="1" applyBorder="1" applyAlignment="1" applyProtection="1">
      <alignment horizontal="center" vertical="center"/>
    </xf>
    <xf numFmtId="179" fontId="4" fillId="2" borderId="11" xfId="3" applyNumberFormat="1" applyFont="1" applyFill="1" applyBorder="1" applyAlignment="1" applyProtection="1">
      <alignment horizontal="center" vertical="center"/>
    </xf>
    <xf numFmtId="179" fontId="4" fillId="2" borderId="7" xfId="3" applyNumberFormat="1" applyFont="1" applyFill="1" applyBorder="1" applyAlignment="1" applyProtection="1">
      <alignment horizontal="center" vertical="center"/>
    </xf>
    <xf numFmtId="57" fontId="4" fillId="2" borderId="8" xfId="0" applyNumberFormat="1" applyFont="1" applyFill="1" applyBorder="1" applyAlignment="1" applyProtection="1">
      <alignment horizontal="center" vertical="center" shrinkToFit="1"/>
    </xf>
    <xf numFmtId="57" fontId="4" fillId="2" borderId="9" xfId="0" applyNumberFormat="1" applyFont="1" applyFill="1" applyBorder="1" applyAlignment="1" applyProtection="1">
      <alignment horizontal="center" vertical="center" shrinkToFit="1"/>
    </xf>
    <xf numFmtId="57" fontId="4" fillId="2" borderId="10" xfId="0" applyNumberFormat="1" applyFont="1" applyFill="1" applyBorder="1" applyAlignment="1" applyProtection="1">
      <alignment horizontal="center" vertical="center" shrinkToFit="1"/>
    </xf>
    <xf numFmtId="57" fontId="4" fillId="2" borderId="11" xfId="0" applyNumberFormat="1" applyFont="1" applyFill="1" applyBorder="1" applyAlignment="1" applyProtection="1">
      <alignment horizontal="center" vertical="center" shrinkToFit="1"/>
    </xf>
    <xf numFmtId="57" fontId="4" fillId="2" borderId="7" xfId="0" applyNumberFormat="1" applyFont="1" applyFill="1" applyBorder="1" applyAlignment="1" applyProtection="1">
      <alignment horizontal="center" vertical="center" shrinkToFit="1"/>
    </xf>
    <xf numFmtId="57" fontId="4" fillId="2" borderId="12" xfId="0" applyNumberFormat="1" applyFont="1" applyFill="1" applyBorder="1" applyAlignment="1" applyProtection="1">
      <alignment horizontal="center" vertical="center" shrinkToFit="1"/>
    </xf>
    <xf numFmtId="0" fontId="4" fillId="0" borderId="25" xfId="0" applyFont="1" applyFill="1" applyBorder="1" applyAlignment="1" applyProtection="1">
      <alignment horizontal="center" vertical="center" shrinkToFit="1"/>
    </xf>
    <xf numFmtId="0" fontId="4" fillId="0" borderId="13" xfId="0" applyFont="1" applyFill="1" applyBorder="1" applyAlignment="1" applyProtection="1">
      <alignment horizontal="center" vertical="center" shrinkToFit="1"/>
    </xf>
    <xf numFmtId="176" fontId="16" fillId="2" borderId="8" xfId="2" applyNumberFormat="1" applyFont="1" applyFill="1" applyBorder="1" applyAlignment="1" applyProtection="1">
      <alignment vertical="center" shrinkToFit="1"/>
    </xf>
    <xf numFmtId="176" fontId="16" fillId="2" borderId="9" xfId="2" applyNumberFormat="1" applyFont="1" applyFill="1" applyBorder="1" applyAlignment="1" applyProtection="1">
      <alignment vertical="center" shrinkToFit="1"/>
    </xf>
    <xf numFmtId="176" fontId="16" fillId="2" borderId="10" xfId="2" applyNumberFormat="1" applyFont="1" applyFill="1" applyBorder="1" applyAlignment="1" applyProtection="1">
      <alignment vertical="center" shrinkToFit="1"/>
    </xf>
    <xf numFmtId="176" fontId="16" fillId="2" borderId="11" xfId="2" applyNumberFormat="1" applyFont="1" applyFill="1" applyBorder="1" applyAlignment="1" applyProtection="1">
      <alignment vertical="center" shrinkToFit="1"/>
    </xf>
    <xf numFmtId="176" fontId="16" fillId="2" borderId="7" xfId="2" applyNumberFormat="1" applyFont="1" applyFill="1" applyBorder="1" applyAlignment="1" applyProtection="1">
      <alignment vertical="center" shrinkToFit="1"/>
    </xf>
    <xf numFmtId="176" fontId="16" fillId="2" borderId="12" xfId="2" applyNumberFormat="1" applyFont="1" applyFill="1" applyBorder="1" applyAlignment="1" applyProtection="1">
      <alignment vertical="center" shrinkToFit="1"/>
    </xf>
    <xf numFmtId="41" fontId="16" fillId="0" borderId="5" xfId="2" applyNumberFormat="1" applyFont="1" applyFill="1" applyBorder="1" applyAlignment="1" applyProtection="1">
      <alignment horizontal="center" vertical="center" shrinkToFit="1"/>
    </xf>
    <xf numFmtId="41" fontId="16" fillId="0" borderId="6" xfId="2" applyNumberFormat="1" applyFont="1" applyFill="1" applyBorder="1" applyAlignment="1" applyProtection="1">
      <alignment horizontal="center" vertical="center" shrinkToFit="1"/>
    </xf>
    <xf numFmtId="41" fontId="16" fillId="0" borderId="4" xfId="2" applyNumberFormat="1" applyFont="1" applyFill="1" applyBorder="1" applyAlignment="1" applyProtection="1">
      <alignment horizontal="center" vertical="center" shrinkToFit="1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13" fillId="0" borderId="29" xfId="0" applyFont="1" applyFill="1" applyBorder="1" applyAlignment="1" applyProtection="1">
      <alignment horizontal="right" vertical="center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133350</xdr:colOff>
      <xdr:row>4</xdr:row>
      <xdr:rowOff>9525</xdr:rowOff>
    </xdr:from>
    <xdr:to>
      <xdr:col>29</xdr:col>
      <xdr:colOff>381000</xdr:colOff>
      <xdr:row>14</xdr:row>
      <xdr:rowOff>28575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657725" y="523875"/>
          <a:ext cx="2628900" cy="146685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oneCellAnchor>
    <xdr:from>
      <xdr:col>4</xdr:col>
      <xdr:colOff>95249</xdr:colOff>
      <xdr:row>7</xdr:row>
      <xdr:rowOff>123825</xdr:rowOff>
    </xdr:from>
    <xdr:ext cx="2714625" cy="568617"/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47749" y="1095375"/>
          <a:ext cx="2714625" cy="568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18288" tIns="18288" rIns="0" bIns="0" anchor="t" upright="1">
          <a:spAutoFit/>
        </a:bodyPr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FF0000"/>
              </a:solidFill>
              <a:latin typeface="MS UI Gothic"/>
              <a:ea typeface="MS UI Gothic"/>
            </a:rPr>
            <a:t>未申告の場合は軽減対象とはなりません！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FF0000"/>
              </a:solidFill>
              <a:latin typeface="MS UI Gothic"/>
              <a:ea typeface="MS UI Gothic"/>
            </a:rPr>
            <a:t>また、修正などで所得金額が増えると軽減対象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FF0000"/>
              </a:solidFill>
              <a:latin typeface="MS UI Gothic"/>
              <a:ea typeface="MS UI Gothic"/>
            </a:rPr>
            <a:t>から、除外されることがあります。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R74"/>
  <sheetViews>
    <sheetView showGridLines="0" tabSelected="1" view="pageBreakPreview" zoomScaleNormal="100" zoomScaleSheetLayoutView="100" workbookViewId="0">
      <selection activeCell="N65" sqref="N65"/>
    </sheetView>
  </sheetViews>
  <sheetFormatPr defaultColWidth="3.125" defaultRowHeight="12"/>
  <cols>
    <col min="1" max="29" width="3.125" style="28" customWidth="1"/>
    <col min="30" max="30" width="5.875" style="28" customWidth="1"/>
    <col min="31" max="31" width="7.5" style="28" hidden="1" customWidth="1"/>
    <col min="32" max="32" width="13.75" style="28" hidden="1" customWidth="1"/>
    <col min="33" max="36" width="3.125" style="28" hidden="1" customWidth="1"/>
    <col min="37" max="37" width="9.25" style="28" hidden="1" customWidth="1"/>
    <col min="38" max="40" width="3.125" style="28" hidden="1" customWidth="1"/>
    <col min="41" max="41" width="12.25" style="28" hidden="1" customWidth="1"/>
    <col min="42" max="42" width="3.75" style="28" hidden="1" customWidth="1"/>
    <col min="43" max="43" width="11.125" style="28" hidden="1" customWidth="1"/>
    <col min="44" max="44" width="3.125" style="28" hidden="1" customWidth="1"/>
    <col min="45" max="50" width="0" style="28" hidden="1" customWidth="1"/>
    <col min="51" max="16384" width="3.125" style="28"/>
  </cols>
  <sheetData>
    <row r="1" spans="1:43" ht="12" customHeight="1">
      <c r="A1" s="27" t="s">
        <v>90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 t="s">
        <v>40</v>
      </c>
      <c r="V1" s="27"/>
      <c r="W1" s="100">
        <f ca="1">TODAY()</f>
        <v>46224</v>
      </c>
      <c r="X1" s="101"/>
      <c r="Y1" s="101"/>
      <c r="Z1" s="101"/>
      <c r="AA1" s="101"/>
      <c r="AB1" s="102"/>
      <c r="AC1" s="27"/>
      <c r="AD1" s="69"/>
      <c r="AE1" s="69"/>
      <c r="AF1" s="69"/>
      <c r="AG1" s="69"/>
      <c r="AH1" s="69"/>
      <c r="AI1" s="69"/>
      <c r="AJ1" s="27"/>
      <c r="AK1" s="27"/>
      <c r="AO1" s="28" t="s">
        <v>106</v>
      </c>
      <c r="AQ1" s="28" t="s">
        <v>107</v>
      </c>
    </row>
    <row r="2" spans="1:43" ht="4.5" customHeight="1">
      <c r="A2" s="27"/>
      <c r="B2" s="27"/>
      <c r="C2" s="27"/>
      <c r="D2" s="29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43" ht="12" customHeight="1">
      <c r="A3" s="121" t="s">
        <v>93</v>
      </c>
      <c r="B3" s="122"/>
      <c r="C3" s="122"/>
      <c r="D3" s="122"/>
      <c r="E3" s="123"/>
      <c r="F3" s="121" t="s">
        <v>41</v>
      </c>
      <c r="G3" s="122"/>
      <c r="H3" s="122"/>
      <c r="I3" s="122"/>
      <c r="J3" s="91" t="s">
        <v>42</v>
      </c>
      <c r="K3" s="91" t="s">
        <v>43</v>
      </c>
      <c r="L3" s="114"/>
      <c r="M3" s="114"/>
      <c r="N3" s="114"/>
      <c r="O3" s="115"/>
      <c r="P3" s="30"/>
      <c r="Q3" s="30"/>
      <c r="R3" s="30"/>
      <c r="S3" s="30"/>
      <c r="T3" s="30"/>
      <c r="U3" s="30"/>
      <c r="V3" s="30"/>
      <c r="W3" s="30"/>
      <c r="X3" s="27"/>
      <c r="Y3" s="31"/>
      <c r="Z3" s="32"/>
      <c r="AA3" s="32"/>
      <c r="AB3" s="32"/>
      <c r="AC3" s="32"/>
      <c r="AD3" s="32"/>
      <c r="AE3" s="32"/>
      <c r="AF3" s="27"/>
      <c r="AG3" s="27"/>
      <c r="AK3" s="33">
        <v>0</v>
      </c>
      <c r="AL3" s="33" t="s">
        <v>79</v>
      </c>
      <c r="AM3" s="33"/>
      <c r="AN3" s="33">
        <v>0</v>
      </c>
      <c r="AO3" s="78">
        <v>1</v>
      </c>
      <c r="AP3" s="78">
        <v>0</v>
      </c>
      <c r="AQ3" s="89">
        <v>1</v>
      </c>
    </row>
    <row r="4" spans="1:43" ht="12" customHeight="1">
      <c r="A4" s="124"/>
      <c r="B4" s="125"/>
      <c r="C4" s="125"/>
      <c r="D4" s="125"/>
      <c r="E4" s="126"/>
      <c r="F4" s="124"/>
      <c r="G4" s="125"/>
      <c r="H4" s="125"/>
      <c r="I4" s="125"/>
      <c r="J4" s="92"/>
      <c r="K4" s="116"/>
      <c r="L4" s="117"/>
      <c r="M4" s="117"/>
      <c r="N4" s="117"/>
      <c r="O4" s="118"/>
      <c r="P4" s="35"/>
      <c r="Q4" s="35"/>
      <c r="R4" s="35"/>
      <c r="S4" s="35"/>
      <c r="T4" s="35"/>
      <c r="U4" s="35"/>
      <c r="V4" s="32"/>
      <c r="W4" s="32"/>
      <c r="X4" s="32"/>
      <c r="Y4" s="32"/>
      <c r="Z4" s="32"/>
      <c r="AA4" s="32"/>
      <c r="AB4" s="27"/>
      <c r="AC4" s="27"/>
      <c r="AD4" s="27"/>
      <c r="AE4" s="27"/>
      <c r="AF4" s="27" t="s">
        <v>44</v>
      </c>
      <c r="AG4" s="27"/>
      <c r="AK4" s="33">
        <v>1</v>
      </c>
      <c r="AL4" s="33" t="s">
        <v>80</v>
      </c>
      <c r="AM4" s="33"/>
      <c r="AN4" s="33">
        <v>2</v>
      </c>
      <c r="AO4" s="78">
        <v>0.8</v>
      </c>
      <c r="AP4" s="78">
        <v>2</v>
      </c>
      <c r="AQ4" s="78">
        <v>0.8</v>
      </c>
    </row>
    <row r="5" spans="1:43" ht="12" customHeight="1">
      <c r="A5" s="151">
        <f>加入者!B3</f>
        <v>0</v>
      </c>
      <c r="B5" s="152"/>
      <c r="C5" s="152"/>
      <c r="D5" s="152"/>
      <c r="E5" s="115" t="str">
        <f>IF(A5&gt;0,"様","　")</f>
        <v>　</v>
      </c>
      <c r="F5" s="155">
        <f>加入者!B6</f>
        <v>0</v>
      </c>
      <c r="G5" s="156"/>
      <c r="H5" s="156"/>
      <c r="I5" s="157"/>
      <c r="J5" s="161" t="str">
        <f>IF(F5&gt;0,DATEDIF(F5,$W$1,"Y")," ")</f>
        <v xml:space="preserve"> </v>
      </c>
      <c r="K5" s="163">
        <f>加入者!D37</f>
        <v>0</v>
      </c>
      <c r="L5" s="164"/>
      <c r="M5" s="164"/>
      <c r="N5" s="164"/>
      <c r="O5" s="165"/>
      <c r="P5" s="27"/>
      <c r="Q5" s="27"/>
      <c r="R5" s="27"/>
      <c r="S5" s="27"/>
      <c r="T5" s="27"/>
      <c r="U5" s="27"/>
      <c r="V5" s="36" t="s">
        <v>45</v>
      </c>
      <c r="W5" s="37"/>
      <c r="X5" s="37"/>
      <c r="Y5" s="37"/>
      <c r="Z5" s="37"/>
      <c r="AA5" s="37"/>
      <c r="AB5" s="27"/>
      <c r="AC5" s="27"/>
      <c r="AD5" s="27"/>
      <c r="AE5" s="27"/>
      <c r="AF5" s="38">
        <f>IF(K5&gt;430000,430000,K5)</f>
        <v>0</v>
      </c>
      <c r="AG5" s="27"/>
      <c r="AK5" s="33">
        <v>2</v>
      </c>
      <c r="AL5" s="33" t="s">
        <v>81</v>
      </c>
      <c r="AM5" s="33"/>
      <c r="AN5" s="33">
        <v>5</v>
      </c>
      <c r="AO5" s="78">
        <v>0.5</v>
      </c>
      <c r="AP5" s="78">
        <v>5</v>
      </c>
      <c r="AQ5" s="78">
        <v>0.5</v>
      </c>
    </row>
    <row r="6" spans="1:43" ht="12" customHeight="1">
      <c r="A6" s="153"/>
      <c r="B6" s="154"/>
      <c r="C6" s="154"/>
      <c r="D6" s="154"/>
      <c r="E6" s="118"/>
      <c r="F6" s="158"/>
      <c r="G6" s="159"/>
      <c r="H6" s="159"/>
      <c r="I6" s="160"/>
      <c r="J6" s="162"/>
      <c r="K6" s="166"/>
      <c r="L6" s="167"/>
      <c r="M6" s="167"/>
      <c r="N6" s="167"/>
      <c r="O6" s="168"/>
      <c r="P6" s="27"/>
      <c r="Q6" s="27"/>
      <c r="R6" s="27"/>
      <c r="S6" s="27"/>
      <c r="T6" s="27"/>
      <c r="U6" s="27"/>
      <c r="V6" s="27"/>
      <c r="W6" s="39" t="s">
        <v>46</v>
      </c>
      <c r="X6" s="37"/>
      <c r="Y6" s="37"/>
      <c r="Z6" s="37"/>
      <c r="AA6" s="37"/>
      <c r="AB6" s="27"/>
      <c r="AC6" s="27"/>
      <c r="AD6" s="27"/>
      <c r="AE6" s="27"/>
      <c r="AF6" s="38"/>
      <c r="AG6" s="27"/>
      <c r="AK6" s="33">
        <v>3</v>
      </c>
      <c r="AL6" s="33" t="s">
        <v>82</v>
      </c>
      <c r="AM6" s="33"/>
      <c r="AN6" s="33">
        <v>7</v>
      </c>
      <c r="AO6" s="78">
        <v>0.3</v>
      </c>
      <c r="AP6" s="90" t="s">
        <v>108</v>
      </c>
      <c r="AQ6" s="78">
        <v>0.28000000000000003</v>
      </c>
    </row>
    <row r="7" spans="1:43" ht="12" customHeight="1" thickBot="1">
      <c r="A7" s="97"/>
      <c r="B7" s="97"/>
      <c r="C7" s="97"/>
      <c r="D7" s="97"/>
      <c r="E7" s="71"/>
      <c r="F7" s="98"/>
      <c r="G7" s="98"/>
      <c r="H7" s="98"/>
      <c r="I7" s="98"/>
      <c r="J7" s="59"/>
      <c r="K7" s="99"/>
      <c r="L7" s="99"/>
      <c r="M7" s="99"/>
      <c r="N7" s="99"/>
      <c r="O7" s="72"/>
      <c r="P7" s="37"/>
      <c r="Q7" s="37"/>
      <c r="R7" s="37"/>
      <c r="S7" s="37"/>
      <c r="T7" s="37"/>
      <c r="U7" s="37"/>
      <c r="V7" s="27" t="s">
        <v>86</v>
      </c>
      <c r="W7" s="27"/>
      <c r="X7" s="40"/>
      <c r="Y7" s="40"/>
      <c r="Z7" s="41"/>
      <c r="AA7" s="41"/>
      <c r="AB7" s="41"/>
      <c r="AC7" s="41"/>
      <c r="AD7" s="27"/>
      <c r="AE7" s="27"/>
      <c r="AF7" s="38"/>
      <c r="AG7" s="27"/>
      <c r="AH7" s="42" t="s">
        <v>47</v>
      </c>
      <c r="AI7" s="42"/>
      <c r="AJ7" s="149">
        <f>IF(AL7&lt;=0,1,0)</f>
        <v>1</v>
      </c>
      <c r="AK7" s="149"/>
      <c r="AL7" s="148">
        <f>IF($Z$11&gt;0,($AF$24+$Z$11-AK16)-(($AF$20*570000)+430000-100000*($Z$14-1)),($AF$24+$Z$11-AK16)-(($AF$20*570000)+430000)-100000*($Z$14-1))</f>
        <v>-430000</v>
      </c>
      <c r="AM7" s="148"/>
      <c r="AN7" s="148"/>
      <c r="AO7" s="148"/>
      <c r="AP7" s="86"/>
    </row>
    <row r="8" spans="1:43" ht="12" customHeight="1">
      <c r="A8" s="95"/>
      <c r="B8" s="95"/>
      <c r="C8" s="95"/>
      <c r="D8" s="95"/>
      <c r="E8" s="70"/>
      <c r="F8" s="96"/>
      <c r="G8" s="96"/>
      <c r="H8" s="96"/>
      <c r="I8" s="96"/>
      <c r="J8" s="75"/>
      <c r="K8" s="94"/>
      <c r="L8" s="94"/>
      <c r="M8" s="94"/>
      <c r="N8" s="94"/>
      <c r="O8" s="54"/>
      <c r="P8" s="27"/>
      <c r="Q8" s="27"/>
      <c r="R8" s="27"/>
      <c r="S8" s="27"/>
      <c r="T8" s="27"/>
      <c r="U8" s="27"/>
      <c r="V8" s="27"/>
      <c r="W8" s="172" t="str">
        <f>VLOOKUP($AK$10,$AK$3:$AL$6,2,TRUE)</f>
        <v>7割軽減</v>
      </c>
      <c r="X8" s="173"/>
      <c r="Y8" s="173"/>
      <c r="Z8" s="173"/>
      <c r="AA8" s="173"/>
      <c r="AB8" s="173"/>
      <c r="AC8" s="174"/>
      <c r="AD8" s="27"/>
      <c r="AE8" s="27"/>
      <c r="AF8" s="38"/>
      <c r="AG8" s="27"/>
      <c r="AH8" s="42" t="s">
        <v>48</v>
      </c>
      <c r="AI8" s="42"/>
      <c r="AJ8" s="149">
        <f>IF(AL8&lt;=0,1,0)</f>
        <v>1</v>
      </c>
      <c r="AK8" s="149"/>
      <c r="AL8" s="148">
        <f>IF($Z$11&gt;0,($AF$24+$Z$11-AK16)-(($AF$20*310000)+430000-100000*($Z$14-1)),($AF$24+$Z$11-AK16)-(($AF$20*310000)+430000)-100000*($Z$14-1))</f>
        <v>-430000</v>
      </c>
      <c r="AM8" s="148"/>
      <c r="AN8" s="148"/>
      <c r="AO8" s="148"/>
      <c r="AP8" s="86"/>
    </row>
    <row r="9" spans="1:43" ht="12" customHeight="1" thickBot="1">
      <c r="A9" s="95"/>
      <c r="B9" s="95"/>
      <c r="C9" s="95"/>
      <c r="D9" s="95"/>
      <c r="E9" s="70"/>
      <c r="F9" s="96"/>
      <c r="G9" s="96"/>
      <c r="H9" s="96"/>
      <c r="I9" s="96"/>
      <c r="J9" s="75"/>
      <c r="K9" s="94"/>
      <c r="L9" s="94"/>
      <c r="M9" s="94"/>
      <c r="N9" s="94"/>
      <c r="O9" s="54"/>
      <c r="P9" s="27"/>
      <c r="Q9" s="27"/>
      <c r="R9" s="27"/>
      <c r="S9" s="27"/>
      <c r="T9" s="27"/>
      <c r="U9" s="27"/>
      <c r="V9" s="27"/>
      <c r="W9" s="175"/>
      <c r="X9" s="176"/>
      <c r="Y9" s="176"/>
      <c r="Z9" s="176"/>
      <c r="AA9" s="176"/>
      <c r="AB9" s="176"/>
      <c r="AC9" s="177"/>
      <c r="AD9" s="27"/>
      <c r="AE9" s="27"/>
      <c r="AF9" s="38"/>
      <c r="AG9" s="27"/>
      <c r="AH9" s="42" t="s">
        <v>49</v>
      </c>
      <c r="AI9" s="42"/>
      <c r="AJ9" s="149">
        <f>IF(AL9&lt;=0,1,0)</f>
        <v>1</v>
      </c>
      <c r="AK9" s="149"/>
      <c r="AL9" s="148">
        <f>IF($Z$11&gt;0,($AF$24+$Z$11-AK16)-(430000+100000*($Z$14-1)),($AF$24+$Z$11-AK16)-(430000+100000*($Z$14-1)))</f>
        <v>-430000</v>
      </c>
      <c r="AM9" s="148"/>
      <c r="AN9" s="148"/>
      <c r="AO9" s="148"/>
      <c r="AP9" s="86"/>
    </row>
    <row r="10" spans="1:43" ht="12" customHeight="1" thickBot="1">
      <c r="A10" s="95"/>
      <c r="B10" s="95"/>
      <c r="C10" s="95"/>
      <c r="D10" s="95"/>
      <c r="E10" s="70"/>
      <c r="F10" s="96"/>
      <c r="G10" s="96"/>
      <c r="H10" s="96"/>
      <c r="I10" s="96"/>
      <c r="J10" s="75"/>
      <c r="K10" s="94"/>
      <c r="L10" s="94"/>
      <c r="M10" s="94"/>
      <c r="N10" s="94"/>
      <c r="O10" s="54"/>
      <c r="P10" s="27"/>
      <c r="Q10" s="27"/>
      <c r="R10" s="27"/>
      <c r="S10" s="27"/>
      <c r="T10" s="27"/>
      <c r="U10" s="27"/>
      <c r="V10" s="43"/>
      <c r="W10" s="27"/>
      <c r="X10" s="27"/>
      <c r="Y10" s="27"/>
      <c r="Z10" s="27"/>
      <c r="AA10" s="27"/>
      <c r="AB10" s="27"/>
      <c r="AC10" s="27"/>
      <c r="AD10" s="27"/>
      <c r="AE10" s="27"/>
      <c r="AF10" s="38"/>
      <c r="AG10" s="27"/>
      <c r="AK10" s="44">
        <f>SUM(AJ7:AK9)</f>
        <v>3</v>
      </c>
    </row>
    <row r="11" spans="1:43" ht="12.75" thickBot="1">
      <c r="A11" s="27"/>
      <c r="B11" s="45"/>
      <c r="C11" s="45"/>
      <c r="D11" s="27"/>
      <c r="E11" s="27"/>
      <c r="F11" s="93"/>
      <c r="G11" s="93"/>
      <c r="H11" s="93"/>
      <c r="I11" s="93"/>
      <c r="J11" s="93"/>
      <c r="K11" s="94"/>
      <c r="L11" s="94"/>
      <c r="M11" s="94"/>
      <c r="N11" s="94"/>
      <c r="O11" s="37"/>
      <c r="P11" s="46"/>
      <c r="Q11" s="46"/>
      <c r="R11" s="46"/>
      <c r="S11" s="46"/>
      <c r="T11" s="46"/>
      <c r="U11" s="46"/>
      <c r="V11" s="37"/>
      <c r="W11" s="37"/>
      <c r="X11" s="27"/>
      <c r="Y11" s="47" t="s">
        <v>89</v>
      </c>
      <c r="Z11" s="103">
        <f>世帯主!D37</f>
        <v>0</v>
      </c>
      <c r="AA11" s="104"/>
      <c r="AB11" s="104"/>
      <c r="AC11" s="105"/>
      <c r="AD11" s="27"/>
      <c r="AE11" s="27"/>
      <c r="AF11" s="38"/>
      <c r="AG11" s="27"/>
      <c r="AH11" s="28" t="s">
        <v>95</v>
      </c>
    </row>
    <row r="12" spans="1:43">
      <c r="A12" s="27"/>
      <c r="B12" s="45"/>
      <c r="C12" s="45"/>
      <c r="D12" s="27"/>
      <c r="E12" s="27"/>
      <c r="F12" s="48"/>
      <c r="G12" s="48"/>
      <c r="H12" s="48"/>
      <c r="I12" s="48"/>
      <c r="J12" s="49"/>
      <c r="K12" s="94"/>
      <c r="L12" s="94"/>
      <c r="M12" s="94"/>
      <c r="N12" s="94"/>
      <c r="O12" s="50"/>
      <c r="P12" s="50"/>
      <c r="Q12" s="50"/>
      <c r="R12" s="50"/>
      <c r="S12" s="50"/>
      <c r="T12" s="50"/>
      <c r="U12" s="50"/>
      <c r="V12" s="50"/>
      <c r="W12" s="50"/>
      <c r="X12" s="30"/>
      <c r="Y12" s="27"/>
      <c r="Z12" s="27"/>
      <c r="AA12" s="27"/>
      <c r="AB12" s="27"/>
      <c r="AC12" s="27"/>
      <c r="AD12" s="27"/>
      <c r="AE12" s="27"/>
      <c r="AF12" s="27"/>
      <c r="AG12" s="27"/>
    </row>
    <row r="13" spans="1:43" ht="4.5" customHeight="1" thickBot="1">
      <c r="A13" s="27"/>
      <c r="B13" s="45"/>
      <c r="C13" s="45"/>
      <c r="D13" s="27"/>
      <c r="E13" s="27"/>
      <c r="F13" s="48"/>
      <c r="G13" s="48"/>
      <c r="H13" s="48"/>
      <c r="I13" s="48"/>
      <c r="J13" s="48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27"/>
      <c r="Z13" s="27"/>
      <c r="AA13" s="50"/>
      <c r="AB13" s="27"/>
      <c r="AC13" s="27"/>
      <c r="AD13" s="27"/>
      <c r="AE13" s="27"/>
      <c r="AF13" s="27"/>
      <c r="AG13" s="27"/>
      <c r="AH13" s="27"/>
      <c r="AI13" s="27"/>
      <c r="AJ13" s="27"/>
      <c r="AK13" s="27"/>
    </row>
    <row r="14" spans="1:43" ht="12" customHeight="1" thickBot="1">
      <c r="A14" s="27"/>
      <c r="B14" s="45"/>
      <c r="C14" s="45"/>
      <c r="D14" s="27"/>
      <c r="E14" s="27"/>
      <c r="F14" s="30"/>
      <c r="G14" s="30"/>
      <c r="H14" s="30"/>
      <c r="I14" s="30"/>
      <c r="J14" s="30"/>
      <c r="K14" s="30"/>
      <c r="L14" s="30"/>
      <c r="M14" s="30"/>
      <c r="N14" s="30"/>
      <c r="O14" s="111"/>
      <c r="P14" s="111"/>
      <c r="Q14" s="77"/>
      <c r="R14" s="77"/>
      <c r="S14" s="77"/>
      <c r="T14" s="77"/>
      <c r="U14" s="77"/>
      <c r="V14" s="27"/>
      <c r="W14" s="27"/>
      <c r="X14" s="50"/>
      <c r="Y14" s="51" t="s">
        <v>52</v>
      </c>
      <c r="Z14" s="145">
        <f>IF(AF16&gt;0,AF16,1)</f>
        <v>1</v>
      </c>
      <c r="AA14" s="146"/>
      <c r="AB14" s="146"/>
      <c r="AC14" s="147"/>
      <c r="AD14" s="52" t="s">
        <v>51</v>
      </c>
      <c r="AE14" s="27"/>
      <c r="AF14" s="27" t="s">
        <v>52</v>
      </c>
      <c r="AG14" s="27"/>
      <c r="AH14" s="27"/>
      <c r="AI14" s="27"/>
      <c r="AJ14" s="27"/>
      <c r="AK14" s="27" t="s">
        <v>85</v>
      </c>
    </row>
    <row r="15" spans="1:43" ht="4.5" customHeight="1">
      <c r="A15" s="27"/>
      <c r="B15" s="45"/>
      <c r="C15" s="45"/>
      <c r="D15" s="27"/>
      <c r="E15" s="27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27"/>
      <c r="R15" s="27"/>
      <c r="S15" s="27"/>
      <c r="T15" s="27"/>
      <c r="U15" s="27"/>
      <c r="V15" s="27"/>
      <c r="W15" s="27"/>
      <c r="X15" s="27"/>
      <c r="Y15" s="27"/>
      <c r="Z15" s="50"/>
      <c r="AA15" s="27"/>
      <c r="AB15" s="27"/>
      <c r="AC15" s="27"/>
      <c r="AD15" s="27"/>
      <c r="AE15" s="27"/>
      <c r="AF15" s="27"/>
      <c r="AG15" s="27"/>
      <c r="AH15" s="48"/>
      <c r="AI15" s="27"/>
      <c r="AJ15" s="27"/>
      <c r="AK15" s="27"/>
    </row>
    <row r="16" spans="1:43" ht="12" customHeight="1">
      <c r="A16" s="27"/>
      <c r="B16" s="45"/>
      <c r="C16" s="45"/>
      <c r="D16" s="27"/>
      <c r="E16" s="27"/>
      <c r="F16" s="30"/>
      <c r="G16" s="30"/>
      <c r="H16" s="30"/>
      <c r="I16" s="30"/>
      <c r="J16" s="30"/>
      <c r="K16" s="30"/>
      <c r="L16" s="30"/>
      <c r="M16" s="30"/>
      <c r="N16" s="30"/>
      <c r="O16" s="111"/>
      <c r="P16" s="111"/>
      <c r="Q16" s="77"/>
      <c r="R16" s="77"/>
      <c r="S16" s="77"/>
      <c r="T16" s="77"/>
      <c r="U16" s="7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>
        <f>加入者!R31+'被保険者（1人目）'!R31+'被保険者（2人目）'!R31+'被保険者（3人目）'!R31+世帯主!R31</f>
        <v>0</v>
      </c>
      <c r="AG16" s="27"/>
      <c r="AH16" s="48"/>
      <c r="AI16" s="27"/>
      <c r="AJ16" s="27"/>
      <c r="AK16" s="27">
        <f>加入者!E33+'被保険者（1人目）'!E33+'被保険者（2人目）'!E33+'被保険者（3人目）'!E33+世帯主!E33</f>
        <v>0</v>
      </c>
      <c r="AL16" s="53"/>
    </row>
    <row r="17" spans="1:38" ht="9" customHeight="1">
      <c r="A17" s="27"/>
      <c r="B17" s="45"/>
      <c r="C17" s="45"/>
      <c r="D17" s="27"/>
      <c r="E17" s="48"/>
      <c r="F17" s="48"/>
      <c r="G17" s="48"/>
      <c r="H17" s="48"/>
      <c r="I17" s="48"/>
      <c r="J17" s="50"/>
      <c r="K17" s="50"/>
      <c r="L17" s="50"/>
      <c r="M17" s="50"/>
      <c r="N17" s="30"/>
      <c r="O17" s="27"/>
      <c r="P17" s="27"/>
      <c r="Q17" s="27"/>
      <c r="R17" s="27"/>
      <c r="S17" s="27"/>
      <c r="T17" s="27"/>
      <c r="U17" s="27"/>
      <c r="V17" s="50"/>
      <c r="W17" s="27"/>
      <c r="X17" s="27"/>
      <c r="Y17" s="27"/>
      <c r="Z17" s="50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53"/>
    </row>
    <row r="18" spans="1:38">
      <c r="A18" s="112" t="s">
        <v>53</v>
      </c>
      <c r="B18" s="112"/>
      <c r="C18" s="112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 t="s">
        <v>91</v>
      </c>
      <c r="AG18" s="27"/>
      <c r="AH18" s="48"/>
      <c r="AI18" s="27"/>
      <c r="AJ18" s="27"/>
      <c r="AK18" s="27"/>
    </row>
    <row r="19" spans="1:38" ht="3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48"/>
      <c r="AD19" s="27"/>
      <c r="AE19" s="27"/>
      <c r="AF19" s="27"/>
    </row>
    <row r="20" spans="1:38">
      <c r="A20" s="27"/>
      <c r="B20" s="27"/>
      <c r="C20" s="36" t="s">
        <v>54</v>
      </c>
      <c r="D20" s="27"/>
      <c r="E20" s="27"/>
      <c r="F20" s="27"/>
      <c r="G20" s="27"/>
      <c r="H20" s="27"/>
      <c r="I20" s="36" t="s">
        <v>55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30"/>
      <c r="AA20" s="30"/>
      <c r="AB20" s="30"/>
      <c r="AC20" s="48"/>
      <c r="AD20" s="27"/>
      <c r="AE20" s="27"/>
      <c r="AF20" s="74">
        <f>加入者!E35+'被保険者（1人目）'!E35+'被保険者（2人目）'!E35+'被保険者（3人目）'!E35+世帯主!E36</f>
        <v>0</v>
      </c>
      <c r="AG20" s="73" t="s">
        <v>96</v>
      </c>
      <c r="AH20" s="73"/>
      <c r="AI20" s="73"/>
    </row>
    <row r="21" spans="1:38">
      <c r="A21" s="106" t="s">
        <v>56</v>
      </c>
      <c r="B21" s="107"/>
      <c r="C21" s="110">
        <f>K5</f>
        <v>0</v>
      </c>
      <c r="D21" s="110"/>
      <c r="E21" s="110"/>
      <c r="F21" s="110"/>
      <c r="G21" s="27" t="s">
        <v>57</v>
      </c>
      <c r="H21" s="27"/>
      <c r="I21" s="110">
        <f>SUM(AF5:AF10)</f>
        <v>0</v>
      </c>
      <c r="J21" s="110"/>
      <c r="K21" s="110"/>
      <c r="L21" s="110"/>
      <c r="M21" s="27" t="s">
        <v>58</v>
      </c>
      <c r="N21" s="27"/>
      <c r="O21" s="113">
        <v>9.1199999999999992</v>
      </c>
      <c r="P21" s="113"/>
      <c r="Q21" s="27" t="s">
        <v>59</v>
      </c>
      <c r="R21" s="27"/>
      <c r="S21" s="110">
        <f>ROUNDDOWN(IF(C21&lt;=I21,0,(C21-I21)*(O21/100)),0)</f>
        <v>0</v>
      </c>
      <c r="T21" s="110"/>
      <c r="U21" s="110"/>
      <c r="V21" s="110"/>
      <c r="W21" s="27" t="s">
        <v>60</v>
      </c>
      <c r="X21" s="27"/>
      <c r="Y21" s="27"/>
      <c r="Z21" s="30"/>
      <c r="AA21" s="119"/>
      <c r="AB21" s="120"/>
      <c r="AC21" s="120"/>
      <c r="AD21" s="27"/>
      <c r="AE21" s="27"/>
      <c r="AF21" s="55" t="s">
        <v>92</v>
      </c>
      <c r="AG21" s="55"/>
      <c r="AH21" s="55"/>
      <c r="AI21" s="55"/>
    </row>
    <row r="22" spans="1:38" ht="3" customHeight="1">
      <c r="A22" s="51"/>
      <c r="B22" s="51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30"/>
      <c r="AA22" s="30"/>
      <c r="AB22" s="30"/>
      <c r="AC22" s="48"/>
      <c r="AD22" s="27"/>
      <c r="AE22" s="27"/>
      <c r="AF22" s="27"/>
    </row>
    <row r="23" spans="1:38" ht="3" customHeight="1">
      <c r="A23" s="51"/>
      <c r="B23" s="51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30"/>
      <c r="AA23" s="30"/>
      <c r="AB23" s="30"/>
      <c r="AC23" s="30"/>
      <c r="AD23" s="27"/>
      <c r="AE23" s="27"/>
      <c r="AF23" s="27"/>
    </row>
    <row r="24" spans="1:38" ht="12" customHeight="1">
      <c r="A24" s="51"/>
      <c r="B24" s="51"/>
      <c r="C24" s="27"/>
      <c r="D24" s="27"/>
      <c r="E24" s="27"/>
      <c r="F24" s="27"/>
      <c r="G24" s="27"/>
      <c r="H24" s="27"/>
      <c r="I24" s="27"/>
      <c r="J24" s="36"/>
      <c r="K24" s="27"/>
      <c r="L24" s="27"/>
      <c r="M24" s="27"/>
      <c r="N24" s="36" t="s">
        <v>61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30"/>
      <c r="AA24" s="30"/>
      <c r="AB24" s="30"/>
      <c r="AC24" s="30"/>
      <c r="AD24" s="27"/>
      <c r="AE24" s="27"/>
      <c r="AF24" s="27">
        <f>加入者!D37+'被保険者（1人目）'!D37+'被保険者（2人目）'!D37+'被保険者（3人目）'!D37</f>
        <v>0</v>
      </c>
      <c r="AG24" s="56"/>
      <c r="AH24" s="56"/>
      <c r="AI24" s="56"/>
    </row>
    <row r="25" spans="1:38" ht="12" customHeight="1">
      <c r="A25" s="106" t="s">
        <v>62</v>
      </c>
      <c r="B25" s="107"/>
      <c r="C25" s="27"/>
      <c r="D25" s="27"/>
      <c r="E25" s="27"/>
      <c r="F25" s="27"/>
      <c r="G25" s="27"/>
      <c r="H25" s="27"/>
      <c r="I25" s="27"/>
      <c r="J25" s="108"/>
      <c r="K25" s="108"/>
      <c r="L25" s="27"/>
      <c r="M25" s="27"/>
      <c r="N25" s="109">
        <v>52200</v>
      </c>
      <c r="O25" s="109"/>
      <c r="P25" s="109"/>
      <c r="Q25" s="27" t="s">
        <v>63</v>
      </c>
      <c r="R25" s="27"/>
      <c r="S25" s="110">
        <f>N25*VLOOKUP($AK$10,$AK$3:$AQ$6,7,TRUE)</f>
        <v>14616.000000000002</v>
      </c>
      <c r="T25" s="110"/>
      <c r="U25" s="110"/>
      <c r="V25" s="110"/>
      <c r="W25" s="27" t="s">
        <v>60</v>
      </c>
      <c r="X25" s="57" t="s">
        <v>64</v>
      </c>
      <c r="Y25" s="27"/>
      <c r="Z25" s="30"/>
      <c r="AA25" s="119"/>
      <c r="AB25" s="119"/>
      <c r="AC25" s="119"/>
      <c r="AD25" s="27"/>
      <c r="AE25" s="27"/>
      <c r="AF25" s="27"/>
    </row>
    <row r="26" spans="1:38" ht="3" customHeight="1">
      <c r="A26" s="51"/>
      <c r="B26" s="51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I26" s="58"/>
    </row>
    <row r="27" spans="1:38" ht="12" customHeight="1">
      <c r="A27" s="51"/>
      <c r="B27" s="51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36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30"/>
      <c r="AC27" s="27"/>
      <c r="AD27" s="27"/>
      <c r="AE27" s="27"/>
      <c r="AF27" s="27"/>
      <c r="AI27" s="58"/>
    </row>
    <row r="28" spans="1:38" ht="3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</row>
    <row r="29" spans="1:38" ht="12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80"/>
    </row>
    <row r="30" spans="1:38" ht="12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 t="s">
        <v>50</v>
      </c>
      <c r="R30" s="27"/>
      <c r="S30" s="127">
        <f>S21+S25</f>
        <v>14616.000000000002</v>
      </c>
      <c r="T30" s="143"/>
      <c r="U30" s="143"/>
      <c r="V30" s="144"/>
      <c r="W30" s="27" t="s">
        <v>60</v>
      </c>
      <c r="X30" s="27"/>
      <c r="Y30" s="27"/>
      <c r="Z30" s="27"/>
      <c r="AA30" s="27"/>
      <c r="AB30" s="27"/>
      <c r="AC30" s="27"/>
      <c r="AD30" s="27"/>
      <c r="AE30" s="27"/>
      <c r="AF30" s="27"/>
    </row>
    <row r="31" spans="1:38" ht="3" customHeight="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</row>
    <row r="32" spans="1:38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60" t="s">
        <v>65</v>
      </c>
      <c r="T32" s="27"/>
      <c r="U32" s="134">
        <f>AG33</f>
        <v>850000</v>
      </c>
      <c r="V32" s="134" t="e">
        <f>IF(#REF!&lt;$AF$29,"R5年度末時点で後期","R6年度以降後期")</f>
        <v>#REF!</v>
      </c>
      <c r="W32" s="134" t="e">
        <f>IF(#REF!&lt;$AF$29,"R5年度末時点で後期","R6年度以降後期")</f>
        <v>#REF!</v>
      </c>
      <c r="X32" s="27" t="s">
        <v>60</v>
      </c>
      <c r="Y32" s="27"/>
      <c r="Z32" s="36"/>
      <c r="AA32" s="27"/>
      <c r="AB32" s="27"/>
      <c r="AC32" s="27"/>
      <c r="AD32" s="27"/>
      <c r="AE32" s="27"/>
      <c r="AF32" s="81"/>
    </row>
    <row r="33" spans="1:37" ht="12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169">
        <f>IF(S30&lt;=U32,S30,U32)</f>
        <v>14616.000000000002</v>
      </c>
      <c r="T33" s="170"/>
      <c r="U33" s="170"/>
      <c r="V33" s="171"/>
      <c r="W33" s="27" t="s">
        <v>60</v>
      </c>
      <c r="X33" s="27" t="s">
        <v>66</v>
      </c>
      <c r="Y33" s="30"/>
      <c r="Z33" s="169">
        <f>ROUNDDOWN(S33,-2)</f>
        <v>14600</v>
      </c>
      <c r="AA33" s="170"/>
      <c r="AB33" s="170"/>
      <c r="AC33" s="171"/>
      <c r="AD33" s="30" t="s">
        <v>60</v>
      </c>
      <c r="AE33" s="27"/>
      <c r="AF33" s="27"/>
      <c r="AG33" s="150">
        <v>850000</v>
      </c>
      <c r="AH33" s="150"/>
      <c r="AI33" s="150"/>
    </row>
    <row r="34" spans="1:37" ht="12" customHeight="1">
      <c r="A34" s="30"/>
      <c r="B34" s="30"/>
      <c r="C34" s="30"/>
      <c r="D34" s="30"/>
      <c r="E34" s="30"/>
      <c r="F34" s="76"/>
      <c r="G34" s="108"/>
      <c r="H34" s="133"/>
      <c r="I34" s="133"/>
      <c r="J34" s="133"/>
      <c r="K34" s="30"/>
      <c r="L34" s="27"/>
      <c r="M34" s="27"/>
      <c r="N34" s="27"/>
      <c r="O34" s="27"/>
      <c r="P34" s="27"/>
      <c r="Q34" s="27"/>
      <c r="R34" s="27"/>
      <c r="S34" s="27"/>
      <c r="T34" s="60"/>
      <c r="U34" s="134"/>
      <c r="V34" s="134"/>
      <c r="W34" s="134"/>
      <c r="X34" s="27"/>
      <c r="Y34" s="27"/>
      <c r="Z34" s="27"/>
      <c r="AA34" s="30"/>
      <c r="AB34" s="27"/>
      <c r="AC34" s="27"/>
      <c r="AD34" s="27"/>
      <c r="AE34" s="27"/>
      <c r="AF34" s="27"/>
      <c r="AG34" s="150"/>
      <c r="AH34" s="150"/>
      <c r="AI34" s="150"/>
    </row>
    <row r="35" spans="1:37" ht="3" customHeight="1">
      <c r="A35" s="30"/>
      <c r="B35" s="30"/>
      <c r="C35" s="30"/>
      <c r="D35" s="30"/>
      <c r="E35" s="30"/>
      <c r="F35" s="30"/>
      <c r="G35" s="77"/>
      <c r="H35" s="48"/>
      <c r="I35" s="48"/>
      <c r="J35" s="48"/>
      <c r="K35" s="30"/>
      <c r="L35" s="27"/>
      <c r="M35" s="27"/>
      <c r="N35" s="27"/>
      <c r="O35" s="27"/>
      <c r="P35" s="27"/>
      <c r="Q35" s="27"/>
      <c r="R35" s="61"/>
      <c r="S35" s="61"/>
      <c r="T35" s="61"/>
      <c r="U35" s="61"/>
      <c r="V35" s="27"/>
      <c r="W35" s="27"/>
      <c r="X35" s="27"/>
      <c r="Y35" s="37"/>
      <c r="Z35" s="37"/>
      <c r="AA35" s="37"/>
      <c r="AB35" s="37"/>
      <c r="AC35" s="27"/>
      <c r="AD35" s="27"/>
      <c r="AE35" s="30"/>
      <c r="AF35" s="30"/>
    </row>
    <row r="36" spans="1:37">
      <c r="A36" s="112" t="s">
        <v>105</v>
      </c>
      <c r="B36" s="112"/>
      <c r="C36" s="112"/>
      <c r="D36" s="112"/>
      <c r="E36" s="112"/>
      <c r="F36" s="112"/>
      <c r="G36" s="112"/>
      <c r="H36" s="88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48"/>
      <c r="AI36" s="27"/>
      <c r="AJ36" s="27"/>
      <c r="AK36" s="27"/>
    </row>
    <row r="37" spans="1:37" ht="3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48"/>
      <c r="AD37" s="27"/>
      <c r="AE37" s="27"/>
      <c r="AF37" s="27"/>
    </row>
    <row r="38" spans="1:37">
      <c r="A38" s="27"/>
      <c r="B38" s="27"/>
      <c r="C38" s="36" t="s">
        <v>54</v>
      </c>
      <c r="D38" s="27"/>
      <c r="E38" s="27"/>
      <c r="F38" s="27"/>
      <c r="G38" s="27"/>
      <c r="H38" s="27"/>
      <c r="I38" s="36" t="s">
        <v>55</v>
      </c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30"/>
      <c r="AA38" s="30"/>
      <c r="AB38" s="30"/>
      <c r="AC38" s="48"/>
      <c r="AD38" s="27"/>
      <c r="AE38" s="27"/>
      <c r="AF38" s="74"/>
      <c r="AG38" s="73"/>
      <c r="AH38" s="73"/>
      <c r="AI38" s="73"/>
    </row>
    <row r="39" spans="1:37">
      <c r="A39" s="106" t="s">
        <v>56</v>
      </c>
      <c r="B39" s="178"/>
      <c r="C39" s="135">
        <f>K5</f>
        <v>0</v>
      </c>
      <c r="D39" s="136"/>
      <c r="E39" s="136"/>
      <c r="F39" s="137"/>
      <c r="G39" s="27" t="s">
        <v>57</v>
      </c>
      <c r="H39" s="27"/>
      <c r="I39" s="135">
        <f>SUM(AF5:AF10)</f>
        <v>0</v>
      </c>
      <c r="J39" s="136"/>
      <c r="K39" s="136"/>
      <c r="L39" s="137"/>
      <c r="M39" s="27" t="s">
        <v>58</v>
      </c>
      <c r="N39" s="27"/>
      <c r="O39" s="138">
        <v>0.25</v>
      </c>
      <c r="P39" s="139"/>
      <c r="Q39" s="27" t="s">
        <v>59</v>
      </c>
      <c r="R39" s="27"/>
      <c r="S39" s="135">
        <f>ROUNDDOWN(IF(C39&lt;=I39,0,(C39-I39)*(O39/100)),0)</f>
        <v>0</v>
      </c>
      <c r="T39" s="136"/>
      <c r="U39" s="136"/>
      <c r="V39" s="137"/>
      <c r="W39" s="27" t="s">
        <v>60</v>
      </c>
      <c r="X39" s="27"/>
      <c r="Y39" s="27"/>
      <c r="Z39" s="30"/>
      <c r="AA39" s="119"/>
      <c r="AB39" s="119"/>
      <c r="AC39" s="119"/>
      <c r="AD39" s="27"/>
      <c r="AE39" s="27"/>
      <c r="AF39" s="55"/>
      <c r="AG39" s="55"/>
      <c r="AH39" s="55"/>
      <c r="AI39" s="55"/>
    </row>
    <row r="40" spans="1:37" ht="3" customHeight="1">
      <c r="A40" s="51"/>
      <c r="B40" s="51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30"/>
      <c r="AA40" s="30"/>
      <c r="AB40" s="30"/>
      <c r="AC40" s="48"/>
      <c r="AD40" s="27"/>
      <c r="AE40" s="27"/>
      <c r="AF40" s="27"/>
    </row>
    <row r="41" spans="1:37" ht="3" customHeight="1">
      <c r="A41" s="51"/>
      <c r="B41" s="51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30"/>
      <c r="AA41" s="30"/>
      <c r="AB41" s="30"/>
      <c r="AC41" s="30"/>
      <c r="AD41" s="27"/>
      <c r="AE41" s="27"/>
      <c r="AF41" s="27"/>
    </row>
    <row r="42" spans="1:37" ht="12" customHeight="1">
      <c r="A42" s="51"/>
      <c r="B42" s="51"/>
      <c r="C42" s="27"/>
      <c r="D42" s="27"/>
      <c r="E42" s="27"/>
      <c r="F42" s="27"/>
      <c r="G42" s="27"/>
      <c r="H42" s="27"/>
      <c r="I42" s="27"/>
      <c r="J42" s="36"/>
      <c r="K42" s="27"/>
      <c r="L42" s="27"/>
      <c r="M42" s="27"/>
      <c r="N42" s="36" t="s">
        <v>61</v>
      </c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30"/>
      <c r="AA42" s="30"/>
      <c r="AB42" s="30"/>
      <c r="AC42" s="30"/>
      <c r="AD42" s="27"/>
      <c r="AE42" s="27"/>
      <c r="AF42" s="27"/>
      <c r="AG42" s="56"/>
      <c r="AH42" s="56"/>
      <c r="AI42" s="56"/>
    </row>
    <row r="43" spans="1:37" ht="12" customHeight="1">
      <c r="A43" s="106" t="s">
        <v>62</v>
      </c>
      <c r="B43" s="106"/>
      <c r="C43" s="27"/>
      <c r="D43" s="27"/>
      <c r="E43" s="27"/>
      <c r="F43" s="27"/>
      <c r="G43" s="27"/>
      <c r="H43" s="27"/>
      <c r="I43" s="27"/>
      <c r="J43" s="108"/>
      <c r="K43" s="108"/>
      <c r="L43" s="27"/>
      <c r="M43" s="27"/>
      <c r="N43" s="140">
        <v>1370</v>
      </c>
      <c r="O43" s="141"/>
      <c r="P43" s="142"/>
      <c r="Q43" s="27" t="s">
        <v>63</v>
      </c>
      <c r="R43" s="27"/>
      <c r="S43" s="135">
        <f>N43*VLOOKUP($AK$10,$AK$3:$AO$6,5,TRUE)</f>
        <v>411</v>
      </c>
      <c r="T43" s="136"/>
      <c r="U43" s="136"/>
      <c r="V43" s="137"/>
      <c r="W43" s="27" t="s">
        <v>60</v>
      </c>
      <c r="X43" s="57" t="s">
        <v>64</v>
      </c>
      <c r="Y43" s="27"/>
      <c r="Z43" s="30"/>
      <c r="AA43" s="119"/>
      <c r="AB43" s="119"/>
      <c r="AC43" s="119"/>
      <c r="AD43" s="27"/>
      <c r="AE43" s="27"/>
      <c r="AF43" s="27"/>
    </row>
    <row r="44" spans="1:37" ht="3" customHeight="1">
      <c r="A44" s="51"/>
      <c r="B44" s="51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I44" s="58"/>
    </row>
    <row r="45" spans="1:37" ht="12" customHeight="1">
      <c r="A45" s="51"/>
      <c r="B45" s="51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36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30"/>
      <c r="AC45" s="27"/>
      <c r="AD45" s="27"/>
      <c r="AE45" s="27"/>
      <c r="AF45" s="27"/>
      <c r="AI45" s="58"/>
    </row>
    <row r="46" spans="1:37" ht="3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</row>
    <row r="47" spans="1:37" ht="12" customHeight="1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80"/>
    </row>
    <row r="48" spans="1:37" ht="12" customHeight="1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 t="s">
        <v>50</v>
      </c>
      <c r="R48" s="27"/>
      <c r="S48" s="127">
        <f>S39+S43</f>
        <v>411</v>
      </c>
      <c r="T48" s="143"/>
      <c r="U48" s="143"/>
      <c r="V48" s="144"/>
      <c r="W48" s="27" t="s">
        <v>60</v>
      </c>
      <c r="X48" s="27"/>
      <c r="Y48" s="27"/>
      <c r="Z48" s="27"/>
      <c r="AA48" s="27"/>
      <c r="AB48" s="27"/>
      <c r="AC48" s="27"/>
      <c r="AD48" s="27"/>
      <c r="AE48" s="27"/>
      <c r="AF48" s="27"/>
    </row>
    <row r="49" spans="1:35" ht="3" customHeight="1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</row>
    <row r="50" spans="1:3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60" t="s">
        <v>65</v>
      </c>
      <c r="T50" s="27"/>
      <c r="U50" s="134">
        <f>AG51</f>
        <v>21000</v>
      </c>
      <c r="V50" s="134"/>
      <c r="W50" s="134"/>
      <c r="X50" s="27" t="s">
        <v>60</v>
      </c>
      <c r="Y50" s="27"/>
      <c r="Z50" s="36"/>
      <c r="AA50" s="27"/>
      <c r="AB50" s="27"/>
      <c r="AC50" s="27"/>
      <c r="AD50" s="27"/>
      <c r="AE50" s="27"/>
      <c r="AF50" s="81"/>
    </row>
    <row r="51" spans="1:35" ht="12" customHeight="1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169">
        <f>IF(S48&lt;=U50,S48,U50)</f>
        <v>411</v>
      </c>
      <c r="T51" s="170"/>
      <c r="U51" s="170"/>
      <c r="V51" s="171"/>
      <c r="W51" s="27" t="s">
        <v>60</v>
      </c>
      <c r="X51" s="27" t="s">
        <v>66</v>
      </c>
      <c r="Y51" s="30"/>
      <c r="Z51" s="169">
        <f>ROUNDDOWN(S51,-2)</f>
        <v>400</v>
      </c>
      <c r="AA51" s="170"/>
      <c r="AB51" s="170"/>
      <c r="AC51" s="171"/>
      <c r="AD51" s="30" t="s">
        <v>60</v>
      </c>
      <c r="AE51" s="27"/>
      <c r="AF51" s="27"/>
      <c r="AG51" s="150">
        <v>21000</v>
      </c>
      <c r="AH51" s="150"/>
      <c r="AI51" s="150"/>
    </row>
    <row r="52" spans="1:35" ht="12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54"/>
      <c r="T52" s="54"/>
      <c r="U52" s="54"/>
      <c r="V52" s="54"/>
      <c r="W52" s="27"/>
      <c r="X52" s="27"/>
      <c r="Y52" s="30"/>
      <c r="Z52" s="54"/>
      <c r="AA52" s="54"/>
      <c r="AB52" s="54"/>
      <c r="AC52" s="54"/>
      <c r="AD52" s="30"/>
      <c r="AE52" s="27"/>
      <c r="AF52" s="27"/>
      <c r="AG52" s="82"/>
      <c r="AH52" s="82"/>
      <c r="AI52" s="82"/>
    </row>
    <row r="53" spans="1:35" ht="12" customHeight="1">
      <c r="A53" s="30"/>
      <c r="B53" s="30"/>
      <c r="C53" s="30"/>
      <c r="D53" s="30"/>
      <c r="E53" s="30"/>
      <c r="F53" s="85"/>
      <c r="G53" s="108"/>
      <c r="H53" s="108"/>
      <c r="I53" s="108"/>
      <c r="J53" s="108"/>
      <c r="K53" s="30"/>
      <c r="L53" s="27"/>
      <c r="M53" s="27"/>
      <c r="N53" s="27"/>
      <c r="O53" s="27"/>
      <c r="P53" s="27"/>
      <c r="Q53" s="27"/>
      <c r="R53" s="27"/>
      <c r="S53" s="27"/>
      <c r="T53" s="60"/>
      <c r="U53" s="134"/>
      <c r="V53" s="134"/>
      <c r="W53" s="134"/>
      <c r="X53" s="27"/>
      <c r="Y53" s="27"/>
      <c r="Z53" s="27"/>
      <c r="AA53" s="30"/>
      <c r="AB53" s="27"/>
      <c r="AC53" s="27"/>
      <c r="AD53" s="27"/>
      <c r="AE53" s="27"/>
      <c r="AF53" s="27"/>
      <c r="AG53" s="150"/>
      <c r="AH53" s="150"/>
      <c r="AI53" s="150"/>
    </row>
    <row r="54" spans="1:35" ht="12" customHeight="1">
      <c r="A54" s="30"/>
      <c r="B54" s="30"/>
      <c r="C54" s="30"/>
      <c r="D54" s="30"/>
      <c r="E54" s="30"/>
      <c r="F54" s="85"/>
      <c r="G54" s="84"/>
      <c r="H54" s="84"/>
      <c r="I54" s="84"/>
      <c r="J54" s="84"/>
      <c r="K54" s="30"/>
      <c r="L54" s="27"/>
      <c r="M54" s="27"/>
      <c r="N54" s="27"/>
      <c r="O54" s="27"/>
      <c r="P54" s="27"/>
      <c r="Q54" s="27"/>
      <c r="R54" s="27"/>
      <c r="S54" s="27"/>
      <c r="T54" s="60"/>
      <c r="U54" s="83"/>
      <c r="V54" s="83"/>
      <c r="W54" s="83"/>
      <c r="X54" s="27"/>
      <c r="Y54" s="27"/>
      <c r="Z54" s="36" t="s">
        <v>67</v>
      </c>
      <c r="AA54" s="27"/>
      <c r="AB54" s="27"/>
      <c r="AC54" s="27"/>
      <c r="AD54" s="27"/>
      <c r="AE54" s="27"/>
      <c r="AF54" s="27"/>
      <c r="AG54" s="82"/>
      <c r="AH54" s="82"/>
      <c r="AI54" s="82"/>
    </row>
    <row r="55" spans="1:35" ht="12" customHeight="1">
      <c r="A55" s="30"/>
      <c r="B55" s="30"/>
      <c r="C55" s="30"/>
      <c r="D55" s="30"/>
      <c r="E55" s="30"/>
      <c r="F55" s="85"/>
      <c r="G55" s="84"/>
      <c r="H55" s="84"/>
      <c r="I55" s="84"/>
      <c r="J55" s="84"/>
      <c r="K55" s="30"/>
      <c r="L55" s="27"/>
      <c r="M55" s="27"/>
      <c r="N55" s="27"/>
      <c r="O55" s="27"/>
      <c r="P55" s="27"/>
      <c r="Q55" s="27"/>
      <c r="R55" s="27"/>
      <c r="S55" s="27"/>
      <c r="T55" s="60"/>
      <c r="U55" s="83"/>
      <c r="V55" s="83"/>
      <c r="W55" s="83"/>
      <c r="X55" s="27"/>
      <c r="Y55" s="27"/>
      <c r="Z55" s="169">
        <f>Z33+Z51</f>
        <v>15000</v>
      </c>
      <c r="AA55" s="170"/>
      <c r="AB55" s="170"/>
      <c r="AC55" s="171"/>
      <c r="AD55" s="30" t="s">
        <v>60</v>
      </c>
      <c r="AE55" s="27"/>
      <c r="AF55" s="27"/>
      <c r="AG55" s="82"/>
      <c r="AH55" s="82"/>
      <c r="AI55" s="82"/>
    </row>
    <row r="56" spans="1:35" ht="6" customHeight="1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30"/>
      <c r="AF56" s="30"/>
      <c r="AG56" s="58"/>
    </row>
    <row r="57" spans="1:35" ht="6" customHeight="1" thickBot="1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30"/>
      <c r="AF57" s="30"/>
    </row>
    <row r="58" spans="1:35" ht="12" customHeight="1" thickBot="1">
      <c r="A58" s="30"/>
      <c r="B58" s="30" t="s">
        <v>87</v>
      </c>
      <c r="C58" s="30"/>
      <c r="D58" s="30"/>
      <c r="E58" s="30"/>
      <c r="F58" s="30"/>
      <c r="G58" s="30"/>
      <c r="H58" s="30"/>
      <c r="I58" s="30"/>
      <c r="J58" s="30"/>
      <c r="K58" s="30" t="s">
        <v>83</v>
      </c>
      <c r="L58" s="26">
        <v>8</v>
      </c>
      <c r="M58" s="30" t="s">
        <v>88</v>
      </c>
      <c r="N58" s="30"/>
      <c r="O58" s="30"/>
      <c r="P58" s="30"/>
      <c r="Q58" s="30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30"/>
      <c r="AF58" s="30"/>
    </row>
    <row r="59" spans="1:35" ht="12" customHeight="1" thickBot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 t="s">
        <v>68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 t="s">
        <v>69</v>
      </c>
      <c r="Z59" s="27"/>
      <c r="AA59" s="27"/>
      <c r="AB59" s="27"/>
      <c r="AC59" s="27"/>
      <c r="AD59" s="27"/>
      <c r="AE59" s="30"/>
      <c r="AF59" s="30"/>
    </row>
    <row r="60" spans="1:35" ht="12" customHeight="1" thickBot="1">
      <c r="A60" s="27"/>
      <c r="B60" s="27"/>
      <c r="C60" s="127">
        <f>Z55</f>
        <v>15000</v>
      </c>
      <c r="D60" s="128"/>
      <c r="E60" s="128"/>
      <c r="F60" s="129"/>
      <c r="G60" s="27" t="s">
        <v>32</v>
      </c>
      <c r="H60" s="62">
        <f>VLOOKUP(L58,AF63:AG74,2)</f>
        <v>8</v>
      </c>
      <c r="I60" s="27" t="s">
        <v>70</v>
      </c>
      <c r="J60" s="27"/>
      <c r="K60" s="27"/>
      <c r="L60" s="27"/>
      <c r="M60" s="27"/>
      <c r="N60" s="130">
        <f>ROUNDDOWN(C60/12*H60,-2)</f>
        <v>10000</v>
      </c>
      <c r="O60" s="131"/>
      <c r="P60" s="131"/>
      <c r="Q60" s="132"/>
      <c r="R60" s="27" t="s">
        <v>60</v>
      </c>
      <c r="S60" s="27"/>
      <c r="T60" s="27"/>
      <c r="U60" s="27"/>
      <c r="V60" s="27"/>
      <c r="W60" s="27"/>
      <c r="X60" s="63" t="s">
        <v>71</v>
      </c>
      <c r="Y60" s="130">
        <f>ROUNDDOWN(C60/12,-2)</f>
        <v>1200</v>
      </c>
      <c r="Z60" s="131"/>
      <c r="AA60" s="131"/>
      <c r="AB60" s="132"/>
      <c r="AC60" s="27" t="s">
        <v>60</v>
      </c>
      <c r="AD60" s="27"/>
      <c r="AE60" s="30"/>
      <c r="AF60" s="30"/>
    </row>
    <row r="61" spans="1:35" ht="6" customHeight="1">
      <c r="A61" s="29"/>
      <c r="B61" s="29"/>
      <c r="C61" s="64"/>
      <c r="D61" s="65"/>
      <c r="E61" s="65"/>
      <c r="F61" s="65"/>
      <c r="G61" s="29"/>
      <c r="H61" s="65" t="s">
        <v>72</v>
      </c>
      <c r="I61" s="29"/>
      <c r="J61" s="29"/>
      <c r="K61" s="29"/>
      <c r="L61" s="29"/>
      <c r="M61" s="29"/>
      <c r="N61" s="64"/>
      <c r="O61" s="65"/>
      <c r="P61" s="65"/>
      <c r="Q61" s="65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30"/>
      <c r="AF61" s="30"/>
    </row>
    <row r="62" spans="1:35" ht="6" customHeight="1">
      <c r="AE62" s="30"/>
      <c r="AF62" s="30"/>
    </row>
    <row r="63" spans="1:35" ht="12" customHeight="1">
      <c r="AE63" s="30"/>
      <c r="AF63" s="66">
        <v>1</v>
      </c>
      <c r="AG63" s="34">
        <v>3</v>
      </c>
      <c r="AH63" s="67"/>
    </row>
    <row r="64" spans="1:35" ht="12" customHeight="1">
      <c r="AE64" s="30"/>
      <c r="AF64" s="66">
        <v>2</v>
      </c>
      <c r="AG64" s="34">
        <v>2</v>
      </c>
      <c r="AH64" s="67"/>
    </row>
    <row r="65" spans="31:34" ht="12" customHeight="1">
      <c r="AE65" s="27"/>
      <c r="AF65" s="66">
        <v>3</v>
      </c>
      <c r="AG65" s="34">
        <v>1</v>
      </c>
      <c r="AH65" s="67"/>
    </row>
    <row r="66" spans="31:34" ht="12" customHeight="1">
      <c r="AE66" s="27"/>
      <c r="AF66" s="66">
        <v>4</v>
      </c>
      <c r="AG66" s="34">
        <v>12</v>
      </c>
      <c r="AH66" s="67"/>
    </row>
    <row r="67" spans="31:34" ht="12" customHeight="1">
      <c r="AE67" s="27"/>
      <c r="AF67" s="66">
        <v>5</v>
      </c>
      <c r="AG67" s="34">
        <v>11</v>
      </c>
      <c r="AH67" s="67"/>
    </row>
    <row r="68" spans="31:34" ht="12" customHeight="1">
      <c r="AF68" s="66">
        <v>6</v>
      </c>
      <c r="AG68" s="34">
        <v>10</v>
      </c>
      <c r="AH68" s="67"/>
    </row>
    <row r="69" spans="31:34">
      <c r="AF69" s="66">
        <v>7</v>
      </c>
      <c r="AG69" s="34">
        <v>9</v>
      </c>
      <c r="AH69" s="68"/>
    </row>
    <row r="70" spans="31:34">
      <c r="AF70" s="66">
        <v>8</v>
      </c>
      <c r="AG70" s="34">
        <v>8</v>
      </c>
    </row>
    <row r="71" spans="31:34">
      <c r="AF71" s="34">
        <v>9</v>
      </c>
      <c r="AG71" s="34">
        <v>7</v>
      </c>
    </row>
    <row r="72" spans="31:34">
      <c r="AF72" s="34">
        <v>10</v>
      </c>
      <c r="AG72" s="34">
        <v>6</v>
      </c>
    </row>
    <row r="73" spans="31:34">
      <c r="AF73" s="34">
        <v>11</v>
      </c>
      <c r="AG73" s="34">
        <v>5</v>
      </c>
    </row>
    <row r="74" spans="31:34">
      <c r="AF74" s="34">
        <v>12</v>
      </c>
      <c r="AG74" s="34">
        <v>4</v>
      </c>
    </row>
  </sheetData>
  <sheetProtection algorithmName="SHA-512" hashValue="IpKqcKyX+aTsNehTWho1ubbimnm7ORhl9IzdEDbC6uOTKe3rbP765bCLV51DwPGqvIUZUEQQZbvJGrg9hE2g3g==" saltValue="h50IxYSlzNqBz2RUlwYQNQ==" spinCount="100000" sheet="1" objects="1" scenarios="1"/>
  <mergeCells count="80">
    <mergeCell ref="Z55:AC55"/>
    <mergeCell ref="AG51:AI51"/>
    <mergeCell ref="G53:J53"/>
    <mergeCell ref="U53:W53"/>
    <mergeCell ref="AG53:AI53"/>
    <mergeCell ref="U50:W50"/>
    <mergeCell ref="S51:V51"/>
    <mergeCell ref="Z51:AC51"/>
    <mergeCell ref="A39:B39"/>
    <mergeCell ref="A43:B43"/>
    <mergeCell ref="AG33:AI33"/>
    <mergeCell ref="AG34:AI34"/>
    <mergeCell ref="K10:N10"/>
    <mergeCell ref="A5:D6"/>
    <mergeCell ref="E5:E6"/>
    <mergeCell ref="F5:I6"/>
    <mergeCell ref="J5:J6"/>
    <mergeCell ref="K5:O6"/>
    <mergeCell ref="AA25:AC25"/>
    <mergeCell ref="K12:N12"/>
    <mergeCell ref="O14:P14"/>
    <mergeCell ref="Z33:AC33"/>
    <mergeCell ref="W8:AC9"/>
    <mergeCell ref="S30:V30"/>
    <mergeCell ref="U32:W32"/>
    <mergeCell ref="S33:V33"/>
    <mergeCell ref="S21:V21"/>
    <mergeCell ref="Z14:AC14"/>
    <mergeCell ref="AL7:AO7"/>
    <mergeCell ref="AJ8:AK8"/>
    <mergeCell ref="AL8:AO8"/>
    <mergeCell ref="AJ9:AK9"/>
    <mergeCell ref="AL9:AO9"/>
    <mergeCell ref="AJ7:AK7"/>
    <mergeCell ref="C60:F60"/>
    <mergeCell ref="N60:Q60"/>
    <mergeCell ref="Y60:AB60"/>
    <mergeCell ref="G34:J34"/>
    <mergeCell ref="U34:W34"/>
    <mergeCell ref="C39:F39"/>
    <mergeCell ref="I39:L39"/>
    <mergeCell ref="O39:P39"/>
    <mergeCell ref="S39:V39"/>
    <mergeCell ref="AA39:AC39"/>
    <mergeCell ref="J43:K43"/>
    <mergeCell ref="N43:P43"/>
    <mergeCell ref="S43:V43"/>
    <mergeCell ref="A36:G36"/>
    <mergeCell ref="AA43:AC43"/>
    <mergeCell ref="S48:V48"/>
    <mergeCell ref="W1:AB1"/>
    <mergeCell ref="Z11:AC11"/>
    <mergeCell ref="A25:B25"/>
    <mergeCell ref="J25:K25"/>
    <mergeCell ref="N25:P25"/>
    <mergeCell ref="S25:V25"/>
    <mergeCell ref="O16:P16"/>
    <mergeCell ref="A18:C18"/>
    <mergeCell ref="A21:B21"/>
    <mergeCell ref="C21:F21"/>
    <mergeCell ref="I21:L21"/>
    <mergeCell ref="O21:P21"/>
    <mergeCell ref="K3:O4"/>
    <mergeCell ref="AA21:AC21"/>
    <mergeCell ref="A3:E4"/>
    <mergeCell ref="F3:I4"/>
    <mergeCell ref="J3:J4"/>
    <mergeCell ref="F11:J11"/>
    <mergeCell ref="K11:N11"/>
    <mergeCell ref="A8:D8"/>
    <mergeCell ref="F8:I8"/>
    <mergeCell ref="K8:N8"/>
    <mergeCell ref="A7:D7"/>
    <mergeCell ref="A9:D9"/>
    <mergeCell ref="F9:I9"/>
    <mergeCell ref="K9:N9"/>
    <mergeCell ref="A10:D10"/>
    <mergeCell ref="F10:I10"/>
    <mergeCell ref="F7:I7"/>
    <mergeCell ref="K7:N7"/>
  </mergeCells>
  <phoneticPr fontId="2"/>
  <dataValidations count="2">
    <dataValidation allowBlank="1" showDropDown="1" showInputMessage="1" showErrorMessage="1" sqref="A10:D10" xr:uid="{00000000-0002-0000-0000-000000000000}"/>
    <dataValidation type="list" allowBlank="1" showInputMessage="1" showErrorMessage="1" sqref="L58" xr:uid="{00000000-0002-0000-0000-000001000000}">
      <formula1>$AF$63:$AF$74</formula1>
    </dataValidation>
  </dataValidations>
  <pageMargins left="0.7" right="0.7" top="0.75" bottom="0.75" header="0.3" footer="0.3"/>
  <pageSetup paperSize="9" scale="83" orientation="portrait" r:id="rId1"/>
  <colBreaks count="1" manualBreakCount="1">
    <brk id="30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S37"/>
  <sheetViews>
    <sheetView showGridLines="0" view="pageBreakPreview" topLeftCell="A22" zoomScaleNormal="100" zoomScaleSheetLayoutView="100" workbookViewId="0">
      <selection activeCell="B26" sqref="B26"/>
    </sheetView>
  </sheetViews>
  <sheetFormatPr defaultRowHeight="13.5"/>
  <cols>
    <col min="1" max="1" width="9" style="1"/>
    <col min="2" max="2" width="20.5" style="1" customWidth="1"/>
    <col min="3" max="3" width="20.25" style="1" customWidth="1"/>
    <col min="4" max="4" width="28" style="1" customWidth="1"/>
    <col min="5" max="5" width="20.5" style="1" hidden="1" customWidth="1"/>
    <col min="6" max="6" width="11.625" style="1" hidden="1" customWidth="1"/>
    <col min="7" max="7" width="15.875" style="1" hidden="1" customWidth="1"/>
    <col min="8" max="8" width="5.375" style="1" hidden="1" customWidth="1"/>
    <col min="9" max="9" width="15.875" style="1" hidden="1" customWidth="1"/>
    <col min="10" max="10" width="9" style="1" hidden="1" customWidth="1"/>
    <col min="11" max="11" width="20.375" style="1" hidden="1" customWidth="1"/>
    <col min="12" max="12" width="13.875" style="1" hidden="1" customWidth="1"/>
    <col min="13" max="13" width="12.75" style="1" hidden="1" customWidth="1"/>
    <col min="14" max="14" width="5.375" style="1" hidden="1" customWidth="1"/>
    <col min="15" max="15" width="14.375" style="1" hidden="1" customWidth="1"/>
    <col min="16" max="17" width="9" style="1" hidden="1" customWidth="1"/>
    <col min="18" max="18" width="10.875" style="1" hidden="1" customWidth="1"/>
    <col min="19" max="19" width="9" style="1" hidden="1" customWidth="1"/>
    <col min="20" max="16384" width="9" style="1"/>
  </cols>
  <sheetData>
    <row r="1" spans="2:19" ht="18.75" customHeight="1"/>
    <row r="2" spans="2:19">
      <c r="B2" s="1" t="s">
        <v>73</v>
      </c>
      <c r="E2" s="1" t="s">
        <v>18</v>
      </c>
      <c r="G2" s="1" t="s">
        <v>23</v>
      </c>
      <c r="Q2" s="1" t="s">
        <v>20</v>
      </c>
    </row>
    <row r="3" spans="2:19">
      <c r="B3" s="23"/>
      <c r="E3" s="3">
        <v>46023</v>
      </c>
      <c r="G3" s="4">
        <f>IF(B10&lt;=10000000,B10,10000000)</f>
        <v>0</v>
      </c>
      <c r="Q3" s="1" t="s">
        <v>33</v>
      </c>
    </row>
    <row r="4" spans="2:19">
      <c r="E4" s="5"/>
      <c r="G4" s="6"/>
    </row>
    <row r="5" spans="2:19">
      <c r="B5" s="1" t="s">
        <v>74</v>
      </c>
      <c r="C5" s="1" t="s">
        <v>104</v>
      </c>
      <c r="E5" s="7" t="s">
        <v>21</v>
      </c>
      <c r="F5" s="7" t="s">
        <v>22</v>
      </c>
      <c r="G5" s="6"/>
    </row>
    <row r="6" spans="2:19">
      <c r="B6" s="23"/>
      <c r="C6" s="2" t="str">
        <f>IF(B6&gt;0,DATEDIF(B6,E3,"Y")," ")</f>
        <v xml:space="preserve"> </v>
      </c>
      <c r="E6" s="11">
        <f>IF(B18="〇",(G3-8500000)*0.1,0)</f>
        <v>0</v>
      </c>
      <c r="F6" s="11">
        <f>IF(E26+E27&gt;100000,E26+E27-100000,0)</f>
        <v>0</v>
      </c>
      <c r="G6" s="6"/>
    </row>
    <row r="7" spans="2:19">
      <c r="B7" s="22" t="s">
        <v>94</v>
      </c>
      <c r="C7" s="21"/>
      <c r="E7" s="5"/>
      <c r="G7" s="6"/>
    </row>
    <row r="8" spans="2:19">
      <c r="E8" s="1" t="s">
        <v>27</v>
      </c>
      <c r="G8" s="6"/>
    </row>
    <row r="9" spans="2:19">
      <c r="B9" s="1" t="s">
        <v>75</v>
      </c>
      <c r="E9" s="11">
        <f>VLOOKUP(B10,F12:I23,2,TRUE)*VLOOKUP(B10,F12:I23,3,TRUE)-VLOOKUP(B10,F12:I23,4,TRUE)</f>
        <v>0</v>
      </c>
      <c r="G9" s="6"/>
      <c r="R9" s="1" t="s">
        <v>77</v>
      </c>
    </row>
    <row r="10" spans="2:19">
      <c r="B10" s="24"/>
      <c r="C10" s="1" t="s">
        <v>5</v>
      </c>
      <c r="K10" s="1" t="s">
        <v>19</v>
      </c>
      <c r="R10" s="1" t="str">
        <f>IF(B10&gt;550000,"〇","×")</f>
        <v>×</v>
      </c>
      <c r="S10" s="1">
        <f>IF(R10="〇",1,0)</f>
        <v>0</v>
      </c>
    </row>
    <row r="11" spans="2:19">
      <c r="B11" s="20"/>
      <c r="E11" s="9" t="s">
        <v>1</v>
      </c>
      <c r="F11" s="9" t="s">
        <v>2</v>
      </c>
      <c r="G11" s="9" t="s">
        <v>4</v>
      </c>
      <c r="H11" s="9" t="s">
        <v>3</v>
      </c>
      <c r="I11" s="9" t="s">
        <v>0</v>
      </c>
      <c r="K11" s="9" t="s">
        <v>6</v>
      </c>
      <c r="L11" s="9" t="s">
        <v>2</v>
      </c>
      <c r="M11" s="9" t="s">
        <v>4</v>
      </c>
      <c r="N11" s="9" t="s">
        <v>3</v>
      </c>
      <c r="O11" s="9" t="s">
        <v>0</v>
      </c>
    </row>
    <row r="12" spans="2:19">
      <c r="B12" s="7" t="s">
        <v>31</v>
      </c>
      <c r="E12" s="9" t="s">
        <v>101</v>
      </c>
      <c r="F12" s="10">
        <v>0</v>
      </c>
      <c r="G12" s="4">
        <f>B10</f>
        <v>0</v>
      </c>
      <c r="H12" s="9">
        <v>1</v>
      </c>
      <c r="I12" s="4">
        <f>B10</f>
        <v>0</v>
      </c>
      <c r="K12" s="9" t="s">
        <v>11</v>
      </c>
      <c r="L12" s="9">
        <v>0</v>
      </c>
      <c r="M12" s="4">
        <v>0</v>
      </c>
      <c r="N12" s="9">
        <v>1</v>
      </c>
      <c r="O12" s="4">
        <f>B26</f>
        <v>0</v>
      </c>
    </row>
    <row r="13" spans="2:19">
      <c r="B13" s="7" t="s">
        <v>34</v>
      </c>
      <c r="E13" s="9" t="s">
        <v>102</v>
      </c>
      <c r="F13" s="10">
        <v>651000</v>
      </c>
      <c r="G13" s="4">
        <f>B10</f>
        <v>0</v>
      </c>
      <c r="H13" s="9">
        <v>1</v>
      </c>
      <c r="I13" s="10">
        <v>650000</v>
      </c>
      <c r="K13" s="9" t="s">
        <v>12</v>
      </c>
      <c r="L13" s="10">
        <v>600001</v>
      </c>
      <c r="M13" s="4">
        <v>0</v>
      </c>
      <c r="N13" s="9">
        <v>1</v>
      </c>
      <c r="O13" s="4">
        <v>600000</v>
      </c>
    </row>
    <row r="14" spans="2:19">
      <c r="B14" s="7" t="s">
        <v>76</v>
      </c>
      <c r="E14" s="9"/>
      <c r="F14" s="10"/>
      <c r="G14" s="4"/>
      <c r="H14" s="9"/>
      <c r="I14" s="10"/>
      <c r="K14" s="9"/>
      <c r="L14" s="10"/>
      <c r="M14" s="4"/>
      <c r="N14" s="9"/>
      <c r="O14" s="4"/>
    </row>
    <row r="15" spans="2:19">
      <c r="B15" s="7" t="s">
        <v>35</v>
      </c>
      <c r="E15" s="9" t="s">
        <v>97</v>
      </c>
      <c r="F15" s="10">
        <v>1900000</v>
      </c>
      <c r="G15" s="4">
        <f>ROUNDDOWN(B10/4,-3)</f>
        <v>0</v>
      </c>
      <c r="H15" s="9">
        <v>2.8</v>
      </c>
      <c r="I15" s="10">
        <v>80000</v>
      </c>
      <c r="K15" s="9" t="s">
        <v>14</v>
      </c>
      <c r="L15" s="10">
        <v>1300001</v>
      </c>
      <c r="M15" s="4">
        <f>B26*0.25</f>
        <v>0</v>
      </c>
      <c r="N15" s="9">
        <v>1</v>
      </c>
      <c r="O15" s="10">
        <v>275000</v>
      </c>
    </row>
    <row r="16" spans="2:19">
      <c r="B16" s="7"/>
      <c r="E16" s="9" t="s">
        <v>98</v>
      </c>
      <c r="F16" s="10">
        <v>3600000</v>
      </c>
      <c r="G16" s="4">
        <f>ROUNDDOWN(B10/4,-3)</f>
        <v>0</v>
      </c>
      <c r="H16" s="9">
        <v>3.2</v>
      </c>
      <c r="I16" s="10">
        <v>440000</v>
      </c>
      <c r="K16" s="9" t="s">
        <v>8</v>
      </c>
      <c r="L16" s="10">
        <v>4100001</v>
      </c>
      <c r="M16" s="4">
        <f>B26*0.15</f>
        <v>0</v>
      </c>
      <c r="N16" s="9">
        <v>1</v>
      </c>
      <c r="O16" s="10">
        <v>685000</v>
      </c>
    </row>
    <row r="17" spans="2:19">
      <c r="B17" s="7" t="s">
        <v>37</v>
      </c>
      <c r="E17" s="9" t="s">
        <v>99</v>
      </c>
      <c r="F17" s="10">
        <v>6600000</v>
      </c>
      <c r="G17" s="4">
        <f>B10</f>
        <v>0</v>
      </c>
      <c r="H17" s="9">
        <v>0.9</v>
      </c>
      <c r="I17" s="10">
        <v>1100000</v>
      </c>
      <c r="K17" s="9" t="s">
        <v>9</v>
      </c>
      <c r="L17" s="10">
        <v>7700001</v>
      </c>
      <c r="M17" s="4">
        <f>B26*0.05</f>
        <v>0</v>
      </c>
      <c r="N17" s="9">
        <v>1</v>
      </c>
      <c r="O17" s="10">
        <v>1455000</v>
      </c>
    </row>
    <row r="18" spans="2:19">
      <c r="B18" s="25"/>
      <c r="C18" s="1" t="s">
        <v>36</v>
      </c>
      <c r="E18" s="9" t="s">
        <v>100</v>
      </c>
      <c r="F18" s="10">
        <v>8500000</v>
      </c>
      <c r="G18" s="4">
        <f>B10</f>
        <v>0</v>
      </c>
      <c r="H18" s="9">
        <v>1</v>
      </c>
      <c r="I18" s="10">
        <v>1950000</v>
      </c>
      <c r="K18" s="9" t="s">
        <v>10</v>
      </c>
      <c r="L18" s="10">
        <v>10000001</v>
      </c>
      <c r="M18" s="4">
        <v>0</v>
      </c>
      <c r="N18" s="9">
        <v>1</v>
      </c>
      <c r="O18" s="10">
        <v>1955000</v>
      </c>
    </row>
    <row r="19" spans="2:19">
      <c r="B19" s="7"/>
      <c r="C19" s="8"/>
      <c r="E19" s="87"/>
      <c r="F19" s="10"/>
      <c r="G19" s="4"/>
      <c r="H19" s="9"/>
      <c r="I19" s="10"/>
      <c r="K19" s="14" t="s">
        <v>17</v>
      </c>
    </row>
    <row r="20" spans="2:19">
      <c r="B20" s="7"/>
      <c r="C20" s="12"/>
      <c r="E20" s="9"/>
      <c r="F20" s="10"/>
      <c r="G20" s="4"/>
      <c r="H20" s="9"/>
      <c r="I20" s="10"/>
      <c r="K20" s="9" t="s">
        <v>6</v>
      </c>
      <c r="L20" s="9" t="s">
        <v>2</v>
      </c>
      <c r="M20" s="9" t="s">
        <v>4</v>
      </c>
      <c r="N20" s="9" t="s">
        <v>3</v>
      </c>
      <c r="O20" s="9" t="s">
        <v>0</v>
      </c>
    </row>
    <row r="21" spans="2:19">
      <c r="B21" s="1" t="s">
        <v>28</v>
      </c>
      <c r="C21" s="7"/>
      <c r="E21" s="19"/>
      <c r="F21" s="10"/>
      <c r="G21" s="4"/>
      <c r="H21" s="9"/>
      <c r="I21" s="10"/>
      <c r="K21" s="9" t="s">
        <v>16</v>
      </c>
      <c r="L21" s="9">
        <v>0</v>
      </c>
      <c r="M21" s="4">
        <v>0</v>
      </c>
      <c r="N21" s="9">
        <v>1</v>
      </c>
      <c r="O21" s="4">
        <f>B26</f>
        <v>0</v>
      </c>
    </row>
    <row r="22" spans="2:19">
      <c r="B22" s="13">
        <f>E9-(E6+F6)</f>
        <v>0</v>
      </c>
      <c r="C22" s="16"/>
      <c r="E22" s="19"/>
      <c r="F22" s="10"/>
      <c r="G22" s="4"/>
      <c r="H22" s="9"/>
      <c r="I22" s="10"/>
      <c r="K22" s="9" t="s">
        <v>15</v>
      </c>
      <c r="L22" s="10">
        <v>1100001</v>
      </c>
      <c r="M22" s="4">
        <v>0</v>
      </c>
      <c r="N22" s="9">
        <v>1</v>
      </c>
      <c r="O22" s="4">
        <v>1100000</v>
      </c>
    </row>
    <row r="23" spans="2:19">
      <c r="E23" s="9"/>
      <c r="F23" s="10"/>
      <c r="G23" s="4"/>
      <c r="H23" s="9"/>
      <c r="I23" s="10"/>
      <c r="K23" s="9" t="s">
        <v>7</v>
      </c>
      <c r="L23" s="10">
        <v>3300001</v>
      </c>
      <c r="M23" s="4">
        <f>B26*0.25</f>
        <v>0</v>
      </c>
      <c r="N23" s="9">
        <v>1</v>
      </c>
      <c r="O23" s="10">
        <v>275000</v>
      </c>
    </row>
    <row r="24" spans="2:19">
      <c r="K24" s="9" t="s">
        <v>8</v>
      </c>
      <c r="L24" s="10">
        <v>4100001</v>
      </c>
      <c r="M24" s="4">
        <f>B26*0.15</f>
        <v>0</v>
      </c>
      <c r="N24" s="9">
        <v>1</v>
      </c>
      <c r="O24" s="10">
        <v>685000</v>
      </c>
    </row>
    <row r="25" spans="2:19">
      <c r="B25" s="1" t="s">
        <v>38</v>
      </c>
      <c r="E25" s="1" t="s">
        <v>24</v>
      </c>
      <c r="K25" s="9" t="s">
        <v>9</v>
      </c>
      <c r="L25" s="10">
        <v>7700001</v>
      </c>
      <c r="M25" s="4">
        <f>B26*0.05</f>
        <v>0</v>
      </c>
      <c r="N25" s="9">
        <v>1</v>
      </c>
      <c r="O25" s="10">
        <v>1455000</v>
      </c>
      <c r="R25" s="1" t="s">
        <v>77</v>
      </c>
    </row>
    <row r="26" spans="2:19">
      <c r="B26" s="24"/>
      <c r="C26" s="1" t="s">
        <v>5</v>
      </c>
      <c r="E26" s="4">
        <f>IF(E9&lt;100000,E9,100000)</f>
        <v>0</v>
      </c>
      <c r="F26" s="9" t="s">
        <v>25</v>
      </c>
      <c r="K26" s="9" t="s">
        <v>10</v>
      </c>
      <c r="L26" s="10">
        <v>10000001</v>
      </c>
      <c r="M26" s="4">
        <v>0</v>
      </c>
      <c r="N26" s="9">
        <v>1</v>
      </c>
      <c r="O26" s="10">
        <v>1955000</v>
      </c>
      <c r="R26" s="1">
        <f>IF(C6&lt;65,B26-600000,0)</f>
        <v>0</v>
      </c>
      <c r="S26" s="1">
        <f>IF(R26+R27&gt;0,1,0)</f>
        <v>0</v>
      </c>
    </row>
    <row r="27" spans="2:19">
      <c r="B27" s="20"/>
      <c r="E27" s="4">
        <f>IF(B30&lt;100000,B30,100000)</f>
        <v>0</v>
      </c>
      <c r="F27" s="9" t="s">
        <v>26</v>
      </c>
      <c r="R27" s="1">
        <f>IF(C6&gt;=65,B26-1250000,0)</f>
        <v>-1250000</v>
      </c>
    </row>
    <row r="29" spans="2:19">
      <c r="B29" s="1" t="s">
        <v>13</v>
      </c>
      <c r="D29" s="18"/>
    </row>
    <row r="30" spans="2:19">
      <c r="B30" s="15">
        <f>IF(C6&lt;65,B26-(VLOOKUP(B26,L12:O18,2,TRUE)+VLOOKUP(B26,L12:O18,4,TRUE)),IF(C6&gt;=65,B26-(VLOOKUP(B26,L21:O26,2,TRUE)+VLOOKUP(B26,L21:O26,4,TRUE))))</f>
        <v>0</v>
      </c>
      <c r="C30" s="17"/>
      <c r="D30" s="7"/>
      <c r="E30" s="1" t="s">
        <v>84</v>
      </c>
      <c r="R30" s="1" t="s">
        <v>78</v>
      </c>
    </row>
    <row r="31" spans="2:19">
      <c r="E31" s="1">
        <f>IF(C6&gt;64,B30,0)</f>
        <v>0</v>
      </c>
      <c r="R31" s="1">
        <f>IF(S10+S26&gt;=1,1,0)</f>
        <v>0</v>
      </c>
    </row>
    <row r="32" spans="2:19">
      <c r="E32" s="1">
        <f>IF(E31&lt;150000,E31,150000)</f>
        <v>0</v>
      </c>
    </row>
    <row r="33" spans="2:5">
      <c r="B33" s="1" t="s">
        <v>39</v>
      </c>
      <c r="E33" s="1">
        <f>IF(E32&gt;0,E32,0)</f>
        <v>0</v>
      </c>
    </row>
    <row r="34" spans="2:5">
      <c r="B34" s="24"/>
      <c r="C34" s="1" t="s">
        <v>5</v>
      </c>
    </row>
    <row r="35" spans="2:5">
      <c r="B35" s="1" t="s">
        <v>30</v>
      </c>
      <c r="E35" s="1">
        <f>IF(B6&gt;0,1,0)</f>
        <v>0</v>
      </c>
    </row>
    <row r="36" spans="2:5">
      <c r="D36" s="1" t="s">
        <v>29</v>
      </c>
    </row>
    <row r="37" spans="2:5">
      <c r="D37" s="11">
        <f>IF(B22+B30+B34&lt;0,0,B22+B30+B34)</f>
        <v>0</v>
      </c>
    </row>
  </sheetData>
  <sheetProtection algorithmName="SHA-512" hashValue="1oG58dXhFQ1BgzVrqpDmA8XUvCngKYWUwjByHNcX0dTdZdHWVWCQLiB/+33bR8RNDcmvduRKAId144sGkcw4ew==" saltValue="BzFKNOvHGb5rfmVJDTxh7Q==" spinCount="100000" sheet="1" objects="1" scenarios="1"/>
  <phoneticPr fontId="2"/>
  <dataValidations count="1">
    <dataValidation type="list" allowBlank="1" showInputMessage="1" showErrorMessage="1" sqref="B18" xr:uid="{00000000-0002-0000-0100-000000000000}">
      <formula1>$Q$2:$Q$4</formula1>
    </dataValidation>
  </dataValidations>
  <pageMargins left="0.7" right="0.7" top="0.75" bottom="0.75" header="0.3" footer="0.3"/>
  <pageSetup paperSize="9" scale="84" fitToHeight="0" orientation="portrait" r:id="rId1"/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B1:S37"/>
  <sheetViews>
    <sheetView showGridLines="0" view="pageBreakPreview" topLeftCell="A16" zoomScaleNormal="100" zoomScaleSheetLayoutView="100" workbookViewId="0">
      <selection activeCell="B26" sqref="B26"/>
    </sheetView>
  </sheetViews>
  <sheetFormatPr defaultRowHeight="13.5"/>
  <cols>
    <col min="1" max="1" width="9" style="1"/>
    <col min="2" max="2" width="20.5" style="1" customWidth="1"/>
    <col min="3" max="3" width="20.25" style="1" customWidth="1"/>
    <col min="4" max="4" width="28" style="1" customWidth="1"/>
    <col min="5" max="5" width="20.5" style="1" hidden="1" customWidth="1"/>
    <col min="6" max="6" width="11.625" style="1" hidden="1" customWidth="1"/>
    <col min="7" max="7" width="15.875" style="1" hidden="1" customWidth="1"/>
    <col min="8" max="8" width="5.375" style="1" hidden="1" customWidth="1"/>
    <col min="9" max="9" width="15.875" style="1" hidden="1" customWidth="1"/>
    <col min="10" max="10" width="9" style="1" hidden="1" customWidth="1"/>
    <col min="11" max="11" width="20.375" style="1" hidden="1" customWidth="1"/>
    <col min="12" max="12" width="13.875" style="1" hidden="1" customWidth="1"/>
    <col min="13" max="13" width="12.75" style="1" hidden="1" customWidth="1"/>
    <col min="14" max="14" width="5.375" style="1" hidden="1" customWidth="1"/>
    <col min="15" max="15" width="14.375" style="1" hidden="1" customWidth="1"/>
    <col min="16" max="17" width="9" style="1" hidden="1" customWidth="1"/>
    <col min="18" max="18" width="10.875" style="1" hidden="1" customWidth="1"/>
    <col min="19" max="19" width="9" style="1" hidden="1" customWidth="1"/>
    <col min="20" max="16384" width="9" style="1"/>
  </cols>
  <sheetData>
    <row r="1" spans="2:19" ht="18.75" customHeight="1"/>
    <row r="2" spans="2:19">
      <c r="B2" s="1" t="s">
        <v>73</v>
      </c>
      <c r="E2" s="1" t="s">
        <v>18</v>
      </c>
      <c r="G2" s="1" t="s">
        <v>23</v>
      </c>
      <c r="Q2" s="1" t="s">
        <v>20</v>
      </c>
    </row>
    <row r="3" spans="2:19">
      <c r="B3" s="23"/>
      <c r="E3" s="3">
        <v>46023</v>
      </c>
      <c r="G3" s="4">
        <f>IF(B10&lt;=10000000,B10,10000000)</f>
        <v>0</v>
      </c>
      <c r="Q3" s="1" t="s">
        <v>33</v>
      </c>
    </row>
    <row r="4" spans="2:19">
      <c r="E4" s="5"/>
      <c r="G4" s="6"/>
    </row>
    <row r="5" spans="2:19">
      <c r="B5" s="1" t="s">
        <v>74</v>
      </c>
      <c r="C5" s="1" t="s">
        <v>103</v>
      </c>
      <c r="E5" s="7" t="s">
        <v>21</v>
      </c>
      <c r="F5" s="7" t="s">
        <v>22</v>
      </c>
      <c r="G5" s="6"/>
    </row>
    <row r="6" spans="2:19">
      <c r="B6" s="23"/>
      <c r="C6" s="2" t="str">
        <f>IF($B$6&gt;0,DATEDIF($B$6,E3,"Y")," ")</f>
        <v xml:space="preserve"> </v>
      </c>
      <c r="E6" s="11">
        <f>IF(B18="〇",(G3-8500000)*0.1,0)</f>
        <v>0</v>
      </c>
      <c r="F6" s="11">
        <f>IF(E26+E27&gt;100000,E26+E27-100000,0)</f>
        <v>0</v>
      </c>
      <c r="G6" s="6"/>
    </row>
    <row r="7" spans="2:19">
      <c r="B7" s="22" t="s">
        <v>94</v>
      </c>
      <c r="C7" s="21"/>
      <c r="E7" s="5"/>
      <c r="G7" s="6"/>
    </row>
    <row r="8" spans="2:19">
      <c r="E8" s="1" t="s">
        <v>27</v>
      </c>
      <c r="G8" s="6"/>
    </row>
    <row r="9" spans="2:19">
      <c r="B9" s="1" t="s">
        <v>75</v>
      </c>
      <c r="E9" s="11">
        <f>VLOOKUP(B10,F12:I23,2,TRUE)*VLOOKUP(B10,F12:I23,3,TRUE)-VLOOKUP(B10,F12:I23,4,TRUE)</f>
        <v>0</v>
      </c>
      <c r="G9" s="6"/>
      <c r="R9" s="1" t="s">
        <v>77</v>
      </c>
    </row>
    <row r="10" spans="2:19">
      <c r="B10" s="24"/>
      <c r="C10" s="1" t="s">
        <v>5</v>
      </c>
      <c r="K10" s="1" t="s">
        <v>19</v>
      </c>
      <c r="R10" s="1" t="str">
        <f>IF(B10&gt;550000,"〇","×")</f>
        <v>×</v>
      </c>
      <c r="S10" s="1">
        <f>IF(R10="〇",1,0)</f>
        <v>0</v>
      </c>
    </row>
    <row r="11" spans="2:19">
      <c r="B11" s="20"/>
      <c r="E11" s="9" t="s">
        <v>1</v>
      </c>
      <c r="F11" s="9" t="s">
        <v>2</v>
      </c>
      <c r="G11" s="9" t="s">
        <v>4</v>
      </c>
      <c r="H11" s="9" t="s">
        <v>3</v>
      </c>
      <c r="I11" s="9" t="s">
        <v>0</v>
      </c>
      <c r="K11" s="9" t="s">
        <v>6</v>
      </c>
      <c r="L11" s="9" t="s">
        <v>2</v>
      </c>
      <c r="M11" s="9" t="s">
        <v>4</v>
      </c>
      <c r="N11" s="9" t="s">
        <v>3</v>
      </c>
      <c r="O11" s="9" t="s">
        <v>0</v>
      </c>
    </row>
    <row r="12" spans="2:19">
      <c r="B12" s="7" t="s">
        <v>31</v>
      </c>
      <c r="E12" s="9" t="s">
        <v>101</v>
      </c>
      <c r="F12" s="10">
        <v>0</v>
      </c>
      <c r="G12" s="4">
        <f>B10</f>
        <v>0</v>
      </c>
      <c r="H12" s="9">
        <v>1</v>
      </c>
      <c r="I12" s="4">
        <f>B10</f>
        <v>0</v>
      </c>
      <c r="K12" s="9" t="s">
        <v>11</v>
      </c>
      <c r="L12" s="9">
        <v>0</v>
      </c>
      <c r="M12" s="4">
        <v>0</v>
      </c>
      <c r="N12" s="9">
        <v>1</v>
      </c>
      <c r="O12" s="4">
        <f>B26</f>
        <v>0</v>
      </c>
    </row>
    <row r="13" spans="2:19">
      <c r="B13" s="7" t="s">
        <v>34</v>
      </c>
      <c r="E13" s="9" t="s">
        <v>102</v>
      </c>
      <c r="F13" s="10">
        <v>651000</v>
      </c>
      <c r="G13" s="4">
        <f>B10</f>
        <v>0</v>
      </c>
      <c r="H13" s="9">
        <v>1</v>
      </c>
      <c r="I13" s="10">
        <v>650000</v>
      </c>
      <c r="K13" s="9" t="s">
        <v>12</v>
      </c>
      <c r="L13" s="10">
        <v>600001</v>
      </c>
      <c r="M13" s="4">
        <v>0</v>
      </c>
      <c r="N13" s="9">
        <v>1</v>
      </c>
      <c r="O13" s="4">
        <v>600000</v>
      </c>
    </row>
    <row r="14" spans="2:19">
      <c r="B14" s="7" t="s">
        <v>76</v>
      </c>
      <c r="E14" s="9"/>
      <c r="F14" s="10"/>
      <c r="G14" s="4"/>
      <c r="H14" s="9"/>
      <c r="I14" s="10"/>
      <c r="K14" s="9"/>
      <c r="L14" s="10"/>
      <c r="M14" s="4"/>
      <c r="N14" s="9"/>
      <c r="O14" s="4"/>
    </row>
    <row r="15" spans="2:19">
      <c r="B15" s="7" t="s">
        <v>35</v>
      </c>
      <c r="E15" s="9" t="s">
        <v>97</v>
      </c>
      <c r="F15" s="10">
        <v>1900000</v>
      </c>
      <c r="G15" s="4">
        <f>ROUNDDOWN(B10/4,-3)</f>
        <v>0</v>
      </c>
      <c r="H15" s="9">
        <v>2.8</v>
      </c>
      <c r="I15" s="10">
        <v>80000</v>
      </c>
      <c r="K15" s="9" t="s">
        <v>14</v>
      </c>
      <c r="L15" s="10">
        <v>1300001</v>
      </c>
      <c r="M15" s="4">
        <f>B26*0.25</f>
        <v>0</v>
      </c>
      <c r="N15" s="9">
        <v>1</v>
      </c>
      <c r="O15" s="10">
        <v>275000</v>
      </c>
    </row>
    <row r="16" spans="2:19">
      <c r="B16" s="7"/>
      <c r="E16" s="9" t="s">
        <v>98</v>
      </c>
      <c r="F16" s="10">
        <v>3600000</v>
      </c>
      <c r="G16" s="4">
        <f>ROUNDDOWN(B10/4,-3)</f>
        <v>0</v>
      </c>
      <c r="H16" s="9">
        <v>3.2</v>
      </c>
      <c r="I16" s="10">
        <v>440000</v>
      </c>
      <c r="K16" s="9" t="s">
        <v>8</v>
      </c>
      <c r="L16" s="10">
        <v>4100001</v>
      </c>
      <c r="M16" s="4">
        <f>B26*0.15</f>
        <v>0</v>
      </c>
      <c r="N16" s="9">
        <v>1</v>
      </c>
      <c r="O16" s="10">
        <v>685000</v>
      </c>
    </row>
    <row r="17" spans="2:19">
      <c r="B17" s="7" t="s">
        <v>37</v>
      </c>
      <c r="E17" s="9" t="s">
        <v>99</v>
      </c>
      <c r="F17" s="10">
        <v>6600000</v>
      </c>
      <c r="G17" s="4">
        <f>B10</f>
        <v>0</v>
      </c>
      <c r="H17" s="9">
        <v>0.9</v>
      </c>
      <c r="I17" s="10">
        <v>1100000</v>
      </c>
      <c r="K17" s="9" t="s">
        <v>9</v>
      </c>
      <c r="L17" s="10">
        <v>7700001</v>
      </c>
      <c r="M17" s="4">
        <f>B26*0.05</f>
        <v>0</v>
      </c>
      <c r="N17" s="9">
        <v>1</v>
      </c>
      <c r="O17" s="10">
        <v>1455000</v>
      </c>
    </row>
    <row r="18" spans="2:19">
      <c r="B18" s="25"/>
      <c r="C18" s="1" t="s">
        <v>36</v>
      </c>
      <c r="E18" s="9" t="s">
        <v>100</v>
      </c>
      <c r="F18" s="10">
        <v>8500000</v>
      </c>
      <c r="G18" s="4">
        <f>B10</f>
        <v>0</v>
      </c>
      <c r="H18" s="9">
        <v>1</v>
      </c>
      <c r="I18" s="10">
        <v>1950000</v>
      </c>
      <c r="K18" s="9" t="s">
        <v>10</v>
      </c>
      <c r="L18" s="10">
        <v>10000001</v>
      </c>
      <c r="M18" s="4">
        <v>0</v>
      </c>
      <c r="N18" s="9">
        <v>1</v>
      </c>
      <c r="O18" s="10">
        <v>1955000</v>
      </c>
    </row>
    <row r="19" spans="2:19">
      <c r="B19" s="7"/>
      <c r="C19" s="8"/>
      <c r="E19" s="87"/>
      <c r="F19" s="10"/>
      <c r="G19" s="4"/>
      <c r="H19" s="9"/>
      <c r="I19" s="10"/>
      <c r="K19" s="14" t="s">
        <v>17</v>
      </c>
    </row>
    <row r="20" spans="2:19">
      <c r="B20" s="7"/>
      <c r="C20" s="12"/>
      <c r="E20" s="9"/>
      <c r="F20" s="10"/>
      <c r="G20" s="4"/>
      <c r="H20" s="9"/>
      <c r="I20" s="10"/>
      <c r="K20" s="9" t="s">
        <v>6</v>
      </c>
      <c r="L20" s="9" t="s">
        <v>2</v>
      </c>
      <c r="M20" s="9" t="s">
        <v>4</v>
      </c>
      <c r="N20" s="9" t="s">
        <v>3</v>
      </c>
      <c r="O20" s="9" t="s">
        <v>0</v>
      </c>
    </row>
    <row r="21" spans="2:19">
      <c r="B21" s="1" t="s">
        <v>28</v>
      </c>
      <c r="C21" s="7"/>
      <c r="E21" s="19"/>
      <c r="F21" s="10"/>
      <c r="G21" s="4"/>
      <c r="H21" s="9"/>
      <c r="I21" s="10"/>
      <c r="K21" s="9" t="s">
        <v>16</v>
      </c>
      <c r="L21" s="9">
        <v>0</v>
      </c>
      <c r="M21" s="4">
        <v>0</v>
      </c>
      <c r="N21" s="9">
        <v>1</v>
      </c>
      <c r="O21" s="4">
        <f>B26</f>
        <v>0</v>
      </c>
    </row>
    <row r="22" spans="2:19">
      <c r="B22" s="13">
        <f>E9-(E6+F6)</f>
        <v>0</v>
      </c>
      <c r="C22" s="16"/>
      <c r="E22" s="19"/>
      <c r="F22" s="10"/>
      <c r="G22" s="4"/>
      <c r="H22" s="9"/>
      <c r="I22" s="10"/>
      <c r="K22" s="9" t="s">
        <v>15</v>
      </c>
      <c r="L22" s="10">
        <v>1100001</v>
      </c>
      <c r="M22" s="4">
        <v>0</v>
      </c>
      <c r="N22" s="9">
        <v>1</v>
      </c>
      <c r="O22" s="4">
        <v>1100000</v>
      </c>
    </row>
    <row r="23" spans="2:19">
      <c r="E23" s="9"/>
      <c r="F23" s="10"/>
      <c r="G23" s="4"/>
      <c r="H23" s="9"/>
      <c r="I23" s="10"/>
      <c r="K23" s="9" t="s">
        <v>7</v>
      </c>
      <c r="L23" s="10">
        <v>3300001</v>
      </c>
      <c r="M23" s="4">
        <f>B26*0.25</f>
        <v>0</v>
      </c>
      <c r="N23" s="9">
        <v>1</v>
      </c>
      <c r="O23" s="10">
        <v>275000</v>
      </c>
    </row>
    <row r="24" spans="2:19">
      <c r="K24" s="9" t="s">
        <v>8</v>
      </c>
      <c r="L24" s="10">
        <v>4100001</v>
      </c>
      <c r="M24" s="4">
        <f>B26*0.15</f>
        <v>0</v>
      </c>
      <c r="N24" s="9">
        <v>1</v>
      </c>
      <c r="O24" s="10">
        <v>685000</v>
      </c>
    </row>
    <row r="25" spans="2:19">
      <c r="B25" s="1" t="s">
        <v>38</v>
      </c>
      <c r="E25" s="1" t="s">
        <v>24</v>
      </c>
      <c r="K25" s="9" t="s">
        <v>9</v>
      </c>
      <c r="L25" s="10">
        <v>7700001</v>
      </c>
      <c r="M25" s="4">
        <f>B26*0.05</f>
        <v>0</v>
      </c>
      <c r="N25" s="9">
        <v>1</v>
      </c>
      <c r="O25" s="10">
        <v>1455000</v>
      </c>
      <c r="R25" s="1" t="s">
        <v>77</v>
      </c>
    </row>
    <row r="26" spans="2:19">
      <c r="B26" s="24"/>
      <c r="C26" s="1" t="s">
        <v>5</v>
      </c>
      <c r="E26" s="4">
        <f>IF(E9&lt;100000,E9,100000)</f>
        <v>0</v>
      </c>
      <c r="F26" s="9" t="s">
        <v>25</v>
      </c>
      <c r="K26" s="9" t="s">
        <v>10</v>
      </c>
      <c r="L26" s="10">
        <v>10000001</v>
      </c>
      <c r="M26" s="4">
        <v>0</v>
      </c>
      <c r="N26" s="9">
        <v>1</v>
      </c>
      <c r="O26" s="10">
        <v>1955000</v>
      </c>
      <c r="R26" s="1">
        <f>IF(C6&lt;65,B26-600000,0)</f>
        <v>0</v>
      </c>
      <c r="S26" s="1">
        <f>IF(R26+R27&gt;0,1,0)</f>
        <v>0</v>
      </c>
    </row>
    <row r="27" spans="2:19">
      <c r="B27" s="20"/>
      <c r="E27" s="4">
        <f>IF(B30&lt;100000,B30,100000)</f>
        <v>0</v>
      </c>
      <c r="F27" s="9" t="s">
        <v>26</v>
      </c>
      <c r="R27" s="1">
        <f>IF(C6&gt;=65,B26-1250000,0)</f>
        <v>-1250000</v>
      </c>
    </row>
    <row r="29" spans="2:19">
      <c r="B29" s="1" t="s">
        <v>13</v>
      </c>
      <c r="D29" s="18"/>
    </row>
    <row r="30" spans="2:19">
      <c r="B30" s="15">
        <f>IF(C6&lt;65,B26-(VLOOKUP(B26,L12:O18,2,TRUE)+VLOOKUP(B26,L12:O18,4,TRUE)),IF(C6&gt;=65,B26-(VLOOKUP(B26,L21:O26,2,TRUE)+VLOOKUP(B26,L21:O26,4,TRUE))))</f>
        <v>0</v>
      </c>
      <c r="C30" s="17"/>
      <c r="D30" s="7"/>
      <c r="E30" s="1" t="s">
        <v>84</v>
      </c>
      <c r="R30" s="1" t="s">
        <v>78</v>
      </c>
    </row>
    <row r="31" spans="2:19">
      <c r="E31" s="1">
        <f>IF(C6&gt;64,B30,0)</f>
        <v>0</v>
      </c>
      <c r="R31" s="1">
        <f>IF(S10+S26&gt;=1,1,0)</f>
        <v>0</v>
      </c>
    </row>
    <row r="32" spans="2:19">
      <c r="E32" s="1">
        <f>IF(E31&lt;150000,E31,150000)</f>
        <v>0</v>
      </c>
    </row>
    <row r="33" spans="2:6">
      <c r="B33" s="1" t="s">
        <v>39</v>
      </c>
      <c r="E33" s="1">
        <f>IF(E32&gt;0,E32,0)</f>
        <v>0</v>
      </c>
    </row>
    <row r="34" spans="2:6">
      <c r="B34" s="24"/>
      <c r="C34" s="1" t="s">
        <v>5</v>
      </c>
      <c r="F34" s="1" t="s">
        <v>18</v>
      </c>
    </row>
    <row r="35" spans="2:6">
      <c r="B35" s="1" t="s">
        <v>30</v>
      </c>
      <c r="E35" s="1">
        <f>IF(B6&gt;0,1,0)</f>
        <v>0</v>
      </c>
      <c r="F35" s="79">
        <v>46113</v>
      </c>
    </row>
    <row r="36" spans="2:6">
      <c r="D36" s="1" t="s">
        <v>29</v>
      </c>
      <c r="E36" s="1">
        <f>IF(F36&gt;=75,E35,0)</f>
        <v>0</v>
      </c>
      <c r="F36" s="2" t="str">
        <f>IF($B$6&gt;0,DATEDIF($B$6,F35,"Y")," ")</f>
        <v xml:space="preserve"> </v>
      </c>
    </row>
    <row r="37" spans="2:6">
      <c r="D37" s="11">
        <f>IF(B22+B30+B34&lt;0,0,B22+B30+B34)</f>
        <v>0</v>
      </c>
    </row>
  </sheetData>
  <sheetProtection algorithmName="SHA-512" hashValue="q1V3GNuv7kFktrGGXnWT7bEx+avNTnHem0arEJlTmZCk7CQC9Jaa+5TzXGIKB9rB7aPCSHFw47s8bdqSRgkJLg==" saltValue="ElsVKcWmxE2r9+JovNomqA==" spinCount="100000" sheet="1" objects="1" scenarios="1"/>
  <phoneticPr fontId="2"/>
  <dataValidations count="1">
    <dataValidation type="list" allowBlank="1" showInputMessage="1" showErrorMessage="1" sqref="B18" xr:uid="{00000000-0002-0000-0200-000000000000}">
      <formula1>$Q$2:$Q$4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B1:S37"/>
  <sheetViews>
    <sheetView showGridLines="0" view="pageBreakPreview" zoomScaleNormal="100" zoomScaleSheetLayoutView="100" workbookViewId="0">
      <selection activeCell="C23" sqref="C23"/>
    </sheetView>
  </sheetViews>
  <sheetFormatPr defaultRowHeight="13.5"/>
  <cols>
    <col min="1" max="1" width="9" style="1"/>
    <col min="2" max="2" width="20.5" style="1" customWidth="1"/>
    <col min="3" max="3" width="20.25" style="1" customWidth="1"/>
    <col min="4" max="4" width="28" style="1" customWidth="1"/>
    <col min="5" max="5" width="20.5" style="1" hidden="1" customWidth="1"/>
    <col min="6" max="6" width="11.625" style="1" hidden="1" customWidth="1"/>
    <col min="7" max="7" width="15.875" style="1" hidden="1" customWidth="1"/>
    <col min="8" max="8" width="5.375" style="1" hidden="1" customWidth="1"/>
    <col min="9" max="9" width="15.875" style="1" hidden="1" customWidth="1"/>
    <col min="10" max="10" width="9" style="1" hidden="1" customWidth="1"/>
    <col min="11" max="11" width="20.375" style="1" hidden="1" customWidth="1"/>
    <col min="12" max="12" width="13.875" style="1" hidden="1" customWidth="1"/>
    <col min="13" max="13" width="12.75" style="1" hidden="1" customWidth="1"/>
    <col min="14" max="14" width="5.375" style="1" hidden="1" customWidth="1"/>
    <col min="15" max="15" width="14.375" style="1" hidden="1" customWidth="1"/>
    <col min="16" max="17" width="9" style="1" hidden="1" customWidth="1"/>
    <col min="18" max="18" width="10.875" style="1" hidden="1" customWidth="1"/>
    <col min="19" max="19" width="9" style="1" hidden="1" customWidth="1"/>
    <col min="20" max="16384" width="9" style="1"/>
  </cols>
  <sheetData>
    <row r="1" spans="2:19" ht="18.75" customHeight="1"/>
    <row r="2" spans="2:19">
      <c r="B2" s="1" t="s">
        <v>73</v>
      </c>
      <c r="E2" s="1" t="s">
        <v>18</v>
      </c>
      <c r="G2" s="1" t="s">
        <v>23</v>
      </c>
      <c r="Q2" s="1" t="s">
        <v>20</v>
      </c>
    </row>
    <row r="3" spans="2:19">
      <c r="B3" s="23"/>
      <c r="E3" s="3">
        <v>46023</v>
      </c>
      <c r="G3" s="4">
        <f>IF(B10&lt;=10000000,B10,10000000)</f>
        <v>0</v>
      </c>
      <c r="Q3" s="1" t="s">
        <v>33</v>
      </c>
    </row>
    <row r="4" spans="2:19">
      <c r="E4" s="5"/>
      <c r="G4" s="6"/>
    </row>
    <row r="5" spans="2:19">
      <c r="B5" s="1" t="s">
        <v>74</v>
      </c>
      <c r="C5" s="79">
        <v>46113</v>
      </c>
      <c r="E5" s="7" t="s">
        <v>21</v>
      </c>
      <c r="F5" s="7" t="s">
        <v>22</v>
      </c>
      <c r="G5" s="6"/>
    </row>
    <row r="6" spans="2:19">
      <c r="B6" s="23"/>
      <c r="C6" s="2" t="str">
        <f>IF(B6&gt;0,DATEDIF(B6,E3,"Y")," ")</f>
        <v xml:space="preserve"> </v>
      </c>
      <c r="E6" s="11">
        <f>IF(B18="〇",(G3-8500000)*0.1,0)</f>
        <v>0</v>
      </c>
      <c r="F6" s="11">
        <f>IF(E26+E27&gt;100000,E26+E27-100000,0)</f>
        <v>0</v>
      </c>
      <c r="G6" s="6"/>
    </row>
    <row r="7" spans="2:19">
      <c r="B7" s="22" t="s">
        <v>94</v>
      </c>
      <c r="C7" s="21"/>
      <c r="E7" s="5"/>
      <c r="G7" s="6"/>
    </row>
    <row r="8" spans="2:19">
      <c r="E8" s="1" t="s">
        <v>27</v>
      </c>
      <c r="G8" s="6"/>
    </row>
    <row r="9" spans="2:19">
      <c r="B9" s="1" t="s">
        <v>75</v>
      </c>
      <c r="E9" s="11">
        <f>VLOOKUP(B10,F12:I23,2,TRUE)*VLOOKUP(B10,F12:I23,3,TRUE)-VLOOKUP(B10,F12:I23,4,TRUE)</f>
        <v>0</v>
      </c>
      <c r="G9" s="6"/>
      <c r="R9" s="1" t="s">
        <v>77</v>
      </c>
    </row>
    <row r="10" spans="2:19">
      <c r="B10" s="24"/>
      <c r="C10" s="1" t="s">
        <v>5</v>
      </c>
      <c r="K10" s="1" t="s">
        <v>19</v>
      </c>
      <c r="R10" s="1" t="str">
        <f>IF(B10&gt;550000,"〇","×")</f>
        <v>×</v>
      </c>
      <c r="S10" s="1">
        <f>IF(R10="〇",1,0)</f>
        <v>0</v>
      </c>
    </row>
    <row r="11" spans="2:19">
      <c r="B11" s="20"/>
      <c r="E11" s="9" t="s">
        <v>1</v>
      </c>
      <c r="F11" s="9" t="s">
        <v>2</v>
      </c>
      <c r="G11" s="9" t="s">
        <v>4</v>
      </c>
      <c r="H11" s="9" t="s">
        <v>3</v>
      </c>
      <c r="I11" s="9" t="s">
        <v>0</v>
      </c>
      <c r="K11" s="9" t="s">
        <v>6</v>
      </c>
      <c r="L11" s="9" t="s">
        <v>2</v>
      </c>
      <c r="M11" s="9" t="s">
        <v>4</v>
      </c>
      <c r="N11" s="9" t="s">
        <v>3</v>
      </c>
      <c r="O11" s="9" t="s">
        <v>0</v>
      </c>
    </row>
    <row r="12" spans="2:19">
      <c r="B12" s="7" t="s">
        <v>31</v>
      </c>
      <c r="E12" s="9" t="s">
        <v>101</v>
      </c>
      <c r="F12" s="10">
        <v>0</v>
      </c>
      <c r="G12" s="4">
        <f>B10</f>
        <v>0</v>
      </c>
      <c r="H12" s="9">
        <v>1</v>
      </c>
      <c r="I12" s="4">
        <f>B10</f>
        <v>0</v>
      </c>
      <c r="K12" s="9" t="s">
        <v>11</v>
      </c>
      <c r="L12" s="9">
        <v>0</v>
      </c>
      <c r="M12" s="4">
        <v>0</v>
      </c>
      <c r="N12" s="9">
        <v>1</v>
      </c>
      <c r="O12" s="4">
        <f>B26</f>
        <v>0</v>
      </c>
    </row>
    <row r="13" spans="2:19">
      <c r="B13" s="7" t="s">
        <v>34</v>
      </c>
      <c r="E13" s="9" t="s">
        <v>102</v>
      </c>
      <c r="F13" s="10">
        <v>651000</v>
      </c>
      <c r="G13" s="4">
        <f>B10</f>
        <v>0</v>
      </c>
      <c r="H13" s="9">
        <v>1</v>
      </c>
      <c r="I13" s="10">
        <v>650000</v>
      </c>
      <c r="K13" s="9" t="s">
        <v>12</v>
      </c>
      <c r="L13" s="10">
        <v>600001</v>
      </c>
      <c r="M13" s="4">
        <v>0</v>
      </c>
      <c r="N13" s="9">
        <v>1</v>
      </c>
      <c r="O13" s="4">
        <v>600000</v>
      </c>
    </row>
    <row r="14" spans="2:19">
      <c r="B14" s="7" t="s">
        <v>76</v>
      </c>
      <c r="E14" s="9"/>
      <c r="F14" s="10"/>
      <c r="G14" s="4"/>
      <c r="H14" s="9"/>
      <c r="I14" s="10"/>
      <c r="K14" s="9"/>
      <c r="L14" s="10"/>
      <c r="M14" s="4"/>
      <c r="N14" s="9"/>
      <c r="O14" s="4"/>
    </row>
    <row r="15" spans="2:19">
      <c r="B15" s="7" t="s">
        <v>35</v>
      </c>
      <c r="E15" s="9" t="s">
        <v>97</v>
      </c>
      <c r="F15" s="10">
        <v>1900000</v>
      </c>
      <c r="G15" s="4">
        <f>ROUNDDOWN(B10/4,-3)</f>
        <v>0</v>
      </c>
      <c r="H15" s="9">
        <v>2.8</v>
      </c>
      <c r="I15" s="10">
        <v>80000</v>
      </c>
      <c r="K15" s="9" t="s">
        <v>14</v>
      </c>
      <c r="L15" s="10">
        <v>1300001</v>
      </c>
      <c r="M15" s="4">
        <f>B26*0.25</f>
        <v>0</v>
      </c>
      <c r="N15" s="9">
        <v>1</v>
      </c>
      <c r="O15" s="10">
        <v>275000</v>
      </c>
    </row>
    <row r="16" spans="2:19">
      <c r="B16" s="7"/>
      <c r="E16" s="9" t="s">
        <v>98</v>
      </c>
      <c r="F16" s="10">
        <v>3600000</v>
      </c>
      <c r="G16" s="4">
        <f>ROUNDDOWN(B10/4,-3)</f>
        <v>0</v>
      </c>
      <c r="H16" s="9">
        <v>3.2</v>
      </c>
      <c r="I16" s="10">
        <v>440000</v>
      </c>
      <c r="K16" s="9" t="s">
        <v>8</v>
      </c>
      <c r="L16" s="10">
        <v>4100001</v>
      </c>
      <c r="M16" s="4">
        <f>B26*0.15</f>
        <v>0</v>
      </c>
      <c r="N16" s="9">
        <v>1</v>
      </c>
      <c r="O16" s="10">
        <v>685000</v>
      </c>
    </row>
    <row r="17" spans="2:19">
      <c r="B17" s="7" t="s">
        <v>37</v>
      </c>
      <c r="E17" s="9" t="s">
        <v>99</v>
      </c>
      <c r="F17" s="10">
        <v>6600000</v>
      </c>
      <c r="G17" s="4">
        <f>B10</f>
        <v>0</v>
      </c>
      <c r="H17" s="9">
        <v>0.9</v>
      </c>
      <c r="I17" s="10">
        <v>1100000</v>
      </c>
      <c r="K17" s="9" t="s">
        <v>9</v>
      </c>
      <c r="L17" s="10">
        <v>7700001</v>
      </c>
      <c r="M17" s="4">
        <f>B26*0.05</f>
        <v>0</v>
      </c>
      <c r="N17" s="9">
        <v>1</v>
      </c>
      <c r="O17" s="10">
        <v>1455000</v>
      </c>
    </row>
    <row r="18" spans="2:19">
      <c r="B18" s="25"/>
      <c r="C18" s="1" t="s">
        <v>36</v>
      </c>
      <c r="E18" s="9" t="s">
        <v>100</v>
      </c>
      <c r="F18" s="10">
        <v>8500000</v>
      </c>
      <c r="G18" s="4">
        <f>B10</f>
        <v>0</v>
      </c>
      <c r="H18" s="9">
        <v>1</v>
      </c>
      <c r="I18" s="10">
        <v>1950000</v>
      </c>
      <c r="K18" s="9" t="s">
        <v>10</v>
      </c>
      <c r="L18" s="10">
        <v>10000001</v>
      </c>
      <c r="M18" s="4">
        <v>0</v>
      </c>
      <c r="N18" s="9">
        <v>1</v>
      </c>
      <c r="O18" s="10">
        <v>1955000</v>
      </c>
    </row>
    <row r="19" spans="2:19">
      <c r="B19" s="7"/>
      <c r="C19" s="8"/>
      <c r="E19" s="87"/>
      <c r="F19" s="10"/>
      <c r="G19" s="4"/>
      <c r="H19" s="9"/>
      <c r="I19" s="10"/>
      <c r="K19" s="14" t="s">
        <v>17</v>
      </c>
    </row>
    <row r="20" spans="2:19">
      <c r="B20" s="7"/>
      <c r="C20" s="12"/>
      <c r="E20" s="9"/>
      <c r="F20" s="10"/>
      <c r="G20" s="4"/>
      <c r="H20" s="9"/>
      <c r="I20" s="10"/>
      <c r="K20" s="9" t="s">
        <v>6</v>
      </c>
      <c r="L20" s="9" t="s">
        <v>2</v>
      </c>
      <c r="M20" s="9" t="s">
        <v>4</v>
      </c>
      <c r="N20" s="9" t="s">
        <v>3</v>
      </c>
      <c r="O20" s="9" t="s">
        <v>0</v>
      </c>
    </row>
    <row r="21" spans="2:19">
      <c r="B21" s="1" t="s">
        <v>28</v>
      </c>
      <c r="C21" s="7"/>
      <c r="E21" s="19"/>
      <c r="F21" s="10"/>
      <c r="G21" s="4"/>
      <c r="H21" s="9"/>
      <c r="I21" s="10"/>
      <c r="K21" s="9" t="s">
        <v>16</v>
      </c>
      <c r="L21" s="9">
        <v>0</v>
      </c>
      <c r="M21" s="4">
        <v>0</v>
      </c>
      <c r="N21" s="9">
        <v>1</v>
      </c>
      <c r="O21" s="4">
        <f>B26</f>
        <v>0</v>
      </c>
    </row>
    <row r="22" spans="2:19">
      <c r="B22" s="13">
        <f>E9-(E6+F6)</f>
        <v>0</v>
      </c>
      <c r="C22" s="16"/>
      <c r="E22" s="19"/>
      <c r="F22" s="10"/>
      <c r="G22" s="4"/>
      <c r="H22" s="9"/>
      <c r="I22" s="10"/>
      <c r="K22" s="9" t="s">
        <v>15</v>
      </c>
      <c r="L22" s="10">
        <v>1100001</v>
      </c>
      <c r="M22" s="4">
        <v>0</v>
      </c>
      <c r="N22" s="9">
        <v>1</v>
      </c>
      <c r="O22" s="4">
        <v>1100000</v>
      </c>
    </row>
    <row r="23" spans="2:19">
      <c r="E23" s="9"/>
      <c r="F23" s="10"/>
      <c r="G23" s="4"/>
      <c r="H23" s="9"/>
      <c r="I23" s="10"/>
      <c r="K23" s="9" t="s">
        <v>7</v>
      </c>
      <c r="L23" s="10">
        <v>3300001</v>
      </c>
      <c r="M23" s="4">
        <f>B26*0.25</f>
        <v>0</v>
      </c>
      <c r="N23" s="9">
        <v>1</v>
      </c>
      <c r="O23" s="10">
        <v>275000</v>
      </c>
    </row>
    <row r="24" spans="2:19">
      <c r="K24" s="9" t="s">
        <v>8</v>
      </c>
      <c r="L24" s="10">
        <v>4100001</v>
      </c>
      <c r="M24" s="4">
        <f>B26*0.15</f>
        <v>0</v>
      </c>
      <c r="N24" s="9">
        <v>1</v>
      </c>
      <c r="O24" s="10">
        <v>685000</v>
      </c>
    </row>
    <row r="25" spans="2:19">
      <c r="B25" s="1" t="s">
        <v>38</v>
      </c>
      <c r="E25" s="1" t="s">
        <v>24</v>
      </c>
      <c r="K25" s="9" t="s">
        <v>9</v>
      </c>
      <c r="L25" s="10">
        <v>7700001</v>
      </c>
      <c r="M25" s="4">
        <f>B26*0.05</f>
        <v>0</v>
      </c>
      <c r="N25" s="9">
        <v>1</v>
      </c>
      <c r="O25" s="10">
        <v>1455000</v>
      </c>
      <c r="R25" s="1" t="s">
        <v>77</v>
      </c>
    </row>
    <row r="26" spans="2:19">
      <c r="B26" s="24"/>
      <c r="C26" s="1" t="s">
        <v>5</v>
      </c>
      <c r="E26" s="4">
        <f>IF(E9&lt;100000,E9,100000)</f>
        <v>0</v>
      </c>
      <c r="F26" s="9" t="s">
        <v>25</v>
      </c>
      <c r="K26" s="9" t="s">
        <v>10</v>
      </c>
      <c r="L26" s="10">
        <v>10000001</v>
      </c>
      <c r="M26" s="4">
        <v>0</v>
      </c>
      <c r="N26" s="9">
        <v>1</v>
      </c>
      <c r="O26" s="10">
        <v>1955000</v>
      </c>
      <c r="R26" s="1">
        <f>IF(C6&lt;65,B26-600000,0)</f>
        <v>0</v>
      </c>
      <c r="S26" s="1">
        <f>IF(R26+R27&gt;0,1,0)</f>
        <v>0</v>
      </c>
    </row>
    <row r="27" spans="2:19">
      <c r="B27" s="20"/>
      <c r="E27" s="4">
        <f>IF(B30&lt;100000,B30,100000)</f>
        <v>0</v>
      </c>
      <c r="F27" s="9" t="s">
        <v>26</v>
      </c>
      <c r="R27" s="1">
        <f>IF(C6&gt;=65,B26-1250000,0)</f>
        <v>-1250000</v>
      </c>
    </row>
    <row r="29" spans="2:19">
      <c r="B29" s="1" t="s">
        <v>13</v>
      </c>
      <c r="D29" s="18"/>
    </row>
    <row r="30" spans="2:19">
      <c r="B30" s="15">
        <f>IF(C6&lt;65,B26-(VLOOKUP(B26,L12:O18,2,TRUE)+VLOOKUP(B26,L12:O18,4,TRUE)),IF(C6&gt;=65,B26-(VLOOKUP(B26,L21:O26,2,TRUE)+VLOOKUP(B26,L21:O26,4,TRUE))))</f>
        <v>0</v>
      </c>
      <c r="C30" s="17"/>
      <c r="D30" s="7"/>
      <c r="E30" s="1" t="s">
        <v>84</v>
      </c>
      <c r="R30" s="1" t="s">
        <v>78</v>
      </c>
    </row>
    <row r="31" spans="2:19">
      <c r="E31" s="1">
        <f>IF(C6&gt;64,B30,0)</f>
        <v>0</v>
      </c>
      <c r="R31" s="1">
        <f>IF(S10+S26&gt;=1,1,0)</f>
        <v>0</v>
      </c>
    </row>
    <row r="32" spans="2:19">
      <c r="E32" s="1">
        <f>IF(E31&lt;150000,E31,150000)</f>
        <v>0</v>
      </c>
    </row>
    <row r="33" spans="2:5">
      <c r="B33" s="1" t="s">
        <v>39</v>
      </c>
      <c r="E33" s="1">
        <f>IF(E32&gt;0,E32,0)</f>
        <v>0</v>
      </c>
    </row>
    <row r="34" spans="2:5">
      <c r="B34" s="24"/>
      <c r="C34" s="1" t="s">
        <v>5</v>
      </c>
    </row>
    <row r="35" spans="2:5">
      <c r="B35" s="1" t="s">
        <v>30</v>
      </c>
      <c r="E35" s="1">
        <f>IF(B6&gt;0,1,0)</f>
        <v>0</v>
      </c>
    </row>
    <row r="36" spans="2:5">
      <c r="D36" s="1" t="s">
        <v>29</v>
      </c>
    </row>
    <row r="37" spans="2:5">
      <c r="D37" s="11">
        <f>IF(B22+B30+B34&lt;0,0,B22+B30+B34)</f>
        <v>0</v>
      </c>
    </row>
  </sheetData>
  <sheetProtection algorithmName="SHA-512" hashValue="gCVPvFQ3zCj2eIKcwjO2BzUHaFtRq0ndvcHm1akGTp06GTmtqffVZgYv+jouuVNKFxJXgqyDI7+A9EV920XFbg==" saltValue="OZ3NdZFjsoXcGgVmzseF8w==" spinCount="100000" sheet="1" objects="1" scenarios="1"/>
  <phoneticPr fontId="2"/>
  <dataValidations count="1">
    <dataValidation type="list" allowBlank="1" showInputMessage="1" showErrorMessage="1" sqref="B18" xr:uid="{00000000-0002-0000-0300-000000000000}">
      <formula1>$Q$2:$Q$4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B1:S37"/>
  <sheetViews>
    <sheetView showGridLines="0" view="pageBreakPreview" zoomScaleNormal="100" zoomScaleSheetLayoutView="100" workbookViewId="0">
      <selection activeCell="D24" sqref="D24"/>
    </sheetView>
  </sheetViews>
  <sheetFormatPr defaultRowHeight="13.5"/>
  <cols>
    <col min="1" max="1" width="9" style="1"/>
    <col min="2" max="2" width="20.5" style="1" customWidth="1"/>
    <col min="3" max="3" width="20.25" style="1" customWidth="1"/>
    <col min="4" max="4" width="28" style="1" customWidth="1"/>
    <col min="5" max="5" width="20.5" style="1" hidden="1" customWidth="1"/>
    <col min="6" max="6" width="11.625" style="1" hidden="1" customWidth="1"/>
    <col min="7" max="7" width="15.875" style="1" hidden="1" customWidth="1"/>
    <col min="8" max="8" width="5.375" style="1" hidden="1" customWidth="1"/>
    <col min="9" max="9" width="15.875" style="1" hidden="1" customWidth="1"/>
    <col min="10" max="10" width="9" style="1" hidden="1" customWidth="1"/>
    <col min="11" max="11" width="20.375" style="1" hidden="1" customWidth="1"/>
    <col min="12" max="12" width="13.875" style="1" hidden="1" customWidth="1"/>
    <col min="13" max="13" width="12.75" style="1" hidden="1" customWidth="1"/>
    <col min="14" max="14" width="5.375" style="1" hidden="1" customWidth="1"/>
    <col min="15" max="15" width="14.375" style="1" hidden="1" customWidth="1"/>
    <col min="16" max="17" width="9" style="1" hidden="1" customWidth="1"/>
    <col min="18" max="18" width="10.875" style="1" hidden="1" customWidth="1"/>
    <col min="19" max="19" width="9" style="1" hidden="1" customWidth="1"/>
    <col min="20" max="16384" width="9" style="1"/>
  </cols>
  <sheetData>
    <row r="1" spans="2:19" ht="18.75" customHeight="1"/>
    <row r="2" spans="2:19">
      <c r="B2" s="1" t="s">
        <v>73</v>
      </c>
      <c r="E2" s="1" t="s">
        <v>18</v>
      </c>
      <c r="G2" s="1" t="s">
        <v>23</v>
      </c>
      <c r="Q2" s="1" t="s">
        <v>20</v>
      </c>
    </row>
    <row r="3" spans="2:19">
      <c r="B3" s="23"/>
      <c r="E3" s="3">
        <v>46023</v>
      </c>
      <c r="G3" s="4">
        <f>IF(B10&lt;=10000000,B10,10000000)</f>
        <v>0</v>
      </c>
      <c r="Q3" s="1" t="s">
        <v>33</v>
      </c>
    </row>
    <row r="4" spans="2:19">
      <c r="E4" s="5"/>
      <c r="G4" s="6"/>
    </row>
    <row r="5" spans="2:19">
      <c r="B5" s="1" t="s">
        <v>74</v>
      </c>
      <c r="C5" s="1" t="s">
        <v>103</v>
      </c>
      <c r="E5" s="7" t="s">
        <v>21</v>
      </c>
      <c r="F5" s="7" t="s">
        <v>22</v>
      </c>
      <c r="G5" s="6"/>
    </row>
    <row r="6" spans="2:19">
      <c r="B6" s="23"/>
      <c r="C6" s="2" t="str">
        <f>IF(B6&gt;0,DATEDIF(B6,E3,"Y")," ")</f>
        <v xml:space="preserve"> </v>
      </c>
      <c r="E6" s="11">
        <f>IF(B18="〇",(G3-8500000)*0.1,0)</f>
        <v>0</v>
      </c>
      <c r="F6" s="11">
        <f>IF(E26+E27&gt;100000,E26+E27-100000,0)</f>
        <v>0</v>
      </c>
      <c r="G6" s="6"/>
    </row>
    <row r="7" spans="2:19">
      <c r="B7" s="22" t="s">
        <v>94</v>
      </c>
      <c r="C7" s="21"/>
      <c r="E7" s="5"/>
      <c r="G7" s="6"/>
    </row>
    <row r="8" spans="2:19">
      <c r="E8" s="1" t="s">
        <v>27</v>
      </c>
      <c r="G8" s="6"/>
    </row>
    <row r="9" spans="2:19">
      <c r="B9" s="1" t="s">
        <v>75</v>
      </c>
      <c r="E9" s="11">
        <f>VLOOKUP(B10,F12:I23,2,TRUE)*VLOOKUP(B10,F12:I23,3,TRUE)-VLOOKUP(B10,F12:I23,4,TRUE)</f>
        <v>0</v>
      </c>
      <c r="G9" s="6"/>
      <c r="R9" s="1" t="s">
        <v>77</v>
      </c>
    </row>
    <row r="10" spans="2:19">
      <c r="B10" s="24"/>
      <c r="C10" s="1" t="s">
        <v>5</v>
      </c>
      <c r="K10" s="1" t="s">
        <v>19</v>
      </c>
      <c r="R10" s="1" t="str">
        <f>IF(B10&gt;550000,"〇","×")</f>
        <v>×</v>
      </c>
      <c r="S10" s="1">
        <f>IF(R10="〇",1,0)</f>
        <v>0</v>
      </c>
    </row>
    <row r="11" spans="2:19">
      <c r="B11" s="20"/>
      <c r="E11" s="9" t="s">
        <v>1</v>
      </c>
      <c r="F11" s="9" t="s">
        <v>2</v>
      </c>
      <c r="G11" s="9" t="s">
        <v>4</v>
      </c>
      <c r="H11" s="9" t="s">
        <v>3</v>
      </c>
      <c r="I11" s="9" t="s">
        <v>0</v>
      </c>
      <c r="K11" s="9" t="s">
        <v>6</v>
      </c>
      <c r="L11" s="9" t="s">
        <v>2</v>
      </c>
      <c r="M11" s="9" t="s">
        <v>4</v>
      </c>
      <c r="N11" s="9" t="s">
        <v>3</v>
      </c>
      <c r="O11" s="9" t="s">
        <v>0</v>
      </c>
    </row>
    <row r="12" spans="2:19">
      <c r="B12" s="7" t="s">
        <v>31</v>
      </c>
      <c r="E12" s="9" t="s">
        <v>101</v>
      </c>
      <c r="F12" s="10">
        <v>0</v>
      </c>
      <c r="G12" s="4">
        <f>B10</f>
        <v>0</v>
      </c>
      <c r="H12" s="9">
        <v>1</v>
      </c>
      <c r="I12" s="4">
        <f>B10</f>
        <v>0</v>
      </c>
      <c r="K12" s="9" t="s">
        <v>11</v>
      </c>
      <c r="L12" s="9">
        <v>0</v>
      </c>
      <c r="M12" s="4">
        <v>0</v>
      </c>
      <c r="N12" s="9">
        <v>1</v>
      </c>
      <c r="O12" s="4">
        <f>B26</f>
        <v>0</v>
      </c>
    </row>
    <row r="13" spans="2:19">
      <c r="B13" s="7" t="s">
        <v>34</v>
      </c>
      <c r="E13" s="9" t="s">
        <v>102</v>
      </c>
      <c r="F13" s="10">
        <v>651000</v>
      </c>
      <c r="G13" s="4">
        <f>B10</f>
        <v>0</v>
      </c>
      <c r="H13" s="9">
        <v>1</v>
      </c>
      <c r="I13" s="10">
        <v>650000</v>
      </c>
      <c r="K13" s="9" t="s">
        <v>12</v>
      </c>
      <c r="L13" s="10">
        <v>600001</v>
      </c>
      <c r="M13" s="4">
        <v>0</v>
      </c>
      <c r="N13" s="9">
        <v>1</v>
      </c>
      <c r="O13" s="4">
        <v>600000</v>
      </c>
    </row>
    <row r="14" spans="2:19">
      <c r="B14" s="7" t="s">
        <v>76</v>
      </c>
      <c r="E14" s="9"/>
      <c r="F14" s="10"/>
      <c r="G14" s="4"/>
      <c r="H14" s="9"/>
      <c r="I14" s="10"/>
      <c r="K14" s="9"/>
      <c r="L14" s="10"/>
      <c r="M14" s="4"/>
      <c r="N14" s="9"/>
      <c r="O14" s="4"/>
    </row>
    <row r="15" spans="2:19">
      <c r="B15" s="7" t="s">
        <v>35</v>
      </c>
      <c r="E15" s="9" t="s">
        <v>97</v>
      </c>
      <c r="F15" s="10">
        <v>1900000</v>
      </c>
      <c r="G15" s="4">
        <f>ROUNDDOWN(B10/4,-3)</f>
        <v>0</v>
      </c>
      <c r="H15" s="9">
        <v>2.8</v>
      </c>
      <c r="I15" s="10">
        <v>80000</v>
      </c>
      <c r="K15" s="9" t="s">
        <v>14</v>
      </c>
      <c r="L15" s="10">
        <v>1300001</v>
      </c>
      <c r="M15" s="4">
        <f>B26*0.25</f>
        <v>0</v>
      </c>
      <c r="N15" s="9">
        <v>1</v>
      </c>
      <c r="O15" s="10">
        <v>275000</v>
      </c>
    </row>
    <row r="16" spans="2:19">
      <c r="B16" s="7"/>
      <c r="E16" s="9" t="s">
        <v>98</v>
      </c>
      <c r="F16" s="10">
        <v>3600000</v>
      </c>
      <c r="G16" s="4">
        <f>ROUNDDOWN(B10/4,-3)</f>
        <v>0</v>
      </c>
      <c r="H16" s="9">
        <v>3.2</v>
      </c>
      <c r="I16" s="10">
        <v>440000</v>
      </c>
      <c r="K16" s="9" t="s">
        <v>8</v>
      </c>
      <c r="L16" s="10">
        <v>4100001</v>
      </c>
      <c r="M16" s="4">
        <f>B26*0.15</f>
        <v>0</v>
      </c>
      <c r="N16" s="9">
        <v>1</v>
      </c>
      <c r="O16" s="10">
        <v>685000</v>
      </c>
    </row>
    <row r="17" spans="2:19">
      <c r="B17" s="7" t="s">
        <v>37</v>
      </c>
      <c r="E17" s="9" t="s">
        <v>99</v>
      </c>
      <c r="F17" s="10">
        <v>6600000</v>
      </c>
      <c r="G17" s="4">
        <f>B10</f>
        <v>0</v>
      </c>
      <c r="H17" s="9">
        <v>0.9</v>
      </c>
      <c r="I17" s="10">
        <v>1100000</v>
      </c>
      <c r="K17" s="9" t="s">
        <v>9</v>
      </c>
      <c r="L17" s="10">
        <v>7700001</v>
      </c>
      <c r="M17" s="4">
        <f>B26*0.05</f>
        <v>0</v>
      </c>
      <c r="N17" s="9">
        <v>1</v>
      </c>
      <c r="O17" s="10">
        <v>1455000</v>
      </c>
    </row>
    <row r="18" spans="2:19">
      <c r="B18" s="25"/>
      <c r="C18" s="1" t="s">
        <v>36</v>
      </c>
      <c r="E18" s="9" t="s">
        <v>100</v>
      </c>
      <c r="F18" s="10">
        <v>8500000</v>
      </c>
      <c r="G18" s="4">
        <f>B10</f>
        <v>0</v>
      </c>
      <c r="H18" s="9">
        <v>1</v>
      </c>
      <c r="I18" s="10">
        <v>1950000</v>
      </c>
      <c r="K18" s="9" t="s">
        <v>10</v>
      </c>
      <c r="L18" s="10">
        <v>10000001</v>
      </c>
      <c r="M18" s="4">
        <v>0</v>
      </c>
      <c r="N18" s="9">
        <v>1</v>
      </c>
      <c r="O18" s="10">
        <v>1955000</v>
      </c>
    </row>
    <row r="19" spans="2:19">
      <c r="B19" s="7"/>
      <c r="C19" s="8"/>
      <c r="E19" s="87"/>
      <c r="F19" s="10"/>
      <c r="G19" s="4"/>
      <c r="H19" s="9"/>
      <c r="I19" s="10"/>
      <c r="K19" s="14" t="s">
        <v>17</v>
      </c>
    </row>
    <row r="20" spans="2:19">
      <c r="B20" s="7"/>
      <c r="C20" s="12"/>
      <c r="E20" s="9"/>
      <c r="F20" s="10"/>
      <c r="G20" s="4"/>
      <c r="H20" s="9"/>
      <c r="I20" s="10"/>
      <c r="K20" s="9" t="s">
        <v>6</v>
      </c>
      <c r="L20" s="9" t="s">
        <v>2</v>
      </c>
      <c r="M20" s="9" t="s">
        <v>4</v>
      </c>
      <c r="N20" s="9" t="s">
        <v>3</v>
      </c>
      <c r="O20" s="9" t="s">
        <v>0</v>
      </c>
    </row>
    <row r="21" spans="2:19">
      <c r="B21" s="1" t="s">
        <v>28</v>
      </c>
      <c r="C21" s="7"/>
      <c r="E21" s="19"/>
      <c r="F21" s="10"/>
      <c r="G21" s="4"/>
      <c r="H21" s="9"/>
      <c r="I21" s="10"/>
      <c r="K21" s="9" t="s">
        <v>16</v>
      </c>
      <c r="L21" s="9">
        <v>0</v>
      </c>
      <c r="M21" s="4">
        <v>0</v>
      </c>
      <c r="N21" s="9">
        <v>1</v>
      </c>
      <c r="O21" s="4">
        <f>B26</f>
        <v>0</v>
      </c>
    </row>
    <row r="22" spans="2:19">
      <c r="B22" s="13">
        <f>E9-(E6+F6)</f>
        <v>0</v>
      </c>
      <c r="C22" s="16"/>
      <c r="E22" s="19"/>
      <c r="F22" s="10"/>
      <c r="G22" s="4"/>
      <c r="H22" s="9"/>
      <c r="I22" s="10"/>
      <c r="K22" s="9" t="s">
        <v>15</v>
      </c>
      <c r="L22" s="10">
        <v>1100001</v>
      </c>
      <c r="M22" s="4">
        <v>0</v>
      </c>
      <c r="N22" s="9">
        <v>1</v>
      </c>
      <c r="O22" s="4">
        <v>1100000</v>
      </c>
    </row>
    <row r="23" spans="2:19">
      <c r="E23" s="9"/>
      <c r="F23" s="10"/>
      <c r="G23" s="4"/>
      <c r="H23" s="9"/>
      <c r="I23" s="10"/>
      <c r="K23" s="9" t="s">
        <v>7</v>
      </c>
      <c r="L23" s="10">
        <v>3300001</v>
      </c>
      <c r="M23" s="4">
        <f>B26*0.25</f>
        <v>0</v>
      </c>
      <c r="N23" s="9">
        <v>1</v>
      </c>
      <c r="O23" s="10">
        <v>275000</v>
      </c>
    </row>
    <row r="24" spans="2:19">
      <c r="K24" s="9" t="s">
        <v>8</v>
      </c>
      <c r="L24" s="10">
        <v>4100001</v>
      </c>
      <c r="M24" s="4">
        <f>B26*0.15</f>
        <v>0</v>
      </c>
      <c r="N24" s="9">
        <v>1</v>
      </c>
      <c r="O24" s="10">
        <v>685000</v>
      </c>
    </row>
    <row r="25" spans="2:19">
      <c r="B25" s="1" t="s">
        <v>38</v>
      </c>
      <c r="E25" s="1" t="s">
        <v>24</v>
      </c>
      <c r="K25" s="9" t="s">
        <v>9</v>
      </c>
      <c r="L25" s="10">
        <v>7700001</v>
      </c>
      <c r="M25" s="4">
        <f>B26*0.05</f>
        <v>0</v>
      </c>
      <c r="N25" s="9">
        <v>1</v>
      </c>
      <c r="O25" s="10">
        <v>1455000</v>
      </c>
      <c r="R25" s="1" t="s">
        <v>77</v>
      </c>
    </row>
    <row r="26" spans="2:19">
      <c r="B26" s="24"/>
      <c r="C26" s="1" t="s">
        <v>5</v>
      </c>
      <c r="E26" s="4">
        <f>IF(E9&lt;100000,E9,100000)</f>
        <v>0</v>
      </c>
      <c r="F26" s="9" t="s">
        <v>25</v>
      </c>
      <c r="K26" s="9" t="s">
        <v>10</v>
      </c>
      <c r="L26" s="10">
        <v>10000001</v>
      </c>
      <c r="M26" s="4">
        <v>0</v>
      </c>
      <c r="N26" s="9">
        <v>1</v>
      </c>
      <c r="O26" s="10">
        <v>1955000</v>
      </c>
      <c r="R26" s="1">
        <f>IF(C6&lt;65,B26-600000,0)</f>
        <v>0</v>
      </c>
      <c r="S26" s="1">
        <f>IF(R26+R27&gt;0,1,0)</f>
        <v>0</v>
      </c>
    </row>
    <row r="27" spans="2:19">
      <c r="B27" s="20"/>
      <c r="E27" s="4">
        <f>IF(B30&lt;100000,B30,100000)</f>
        <v>0</v>
      </c>
      <c r="F27" s="9" t="s">
        <v>26</v>
      </c>
      <c r="R27" s="1">
        <f>IF(C6&gt;=65,B26-1250000,0)</f>
        <v>-1250000</v>
      </c>
    </row>
    <row r="29" spans="2:19">
      <c r="B29" s="1" t="s">
        <v>13</v>
      </c>
      <c r="D29" s="18"/>
    </row>
    <row r="30" spans="2:19">
      <c r="B30" s="15">
        <f>IF(C6&lt;65,B26-(VLOOKUP(B26,L12:O18,2,TRUE)+VLOOKUP(B26,L12:O18,4,TRUE)),IF(C6&gt;=65,B26-(VLOOKUP(B26,L21:O26,2,TRUE)+VLOOKUP(B26,L21:O26,4,TRUE))))</f>
        <v>0</v>
      </c>
      <c r="C30" s="17"/>
      <c r="D30" s="7"/>
      <c r="E30" s="1" t="s">
        <v>84</v>
      </c>
      <c r="R30" s="1" t="s">
        <v>78</v>
      </c>
    </row>
    <row r="31" spans="2:19">
      <c r="E31" s="1">
        <f>IF(C6&gt;64,B30,0)</f>
        <v>0</v>
      </c>
      <c r="R31" s="1">
        <f>IF(S10+S26&gt;=1,1,0)</f>
        <v>0</v>
      </c>
    </row>
    <row r="32" spans="2:19">
      <c r="E32" s="1">
        <f>IF(E31&lt;150000,E31,150000)</f>
        <v>0</v>
      </c>
    </row>
    <row r="33" spans="2:5">
      <c r="B33" s="1" t="s">
        <v>39</v>
      </c>
      <c r="E33" s="1">
        <f>IF(E32&gt;0,E32,0)</f>
        <v>0</v>
      </c>
    </row>
    <row r="34" spans="2:5">
      <c r="B34" s="24"/>
      <c r="C34" s="1" t="s">
        <v>5</v>
      </c>
    </row>
    <row r="35" spans="2:5">
      <c r="B35" s="1" t="s">
        <v>30</v>
      </c>
      <c r="E35" s="1">
        <f>IF(B6&gt;0,1,0)</f>
        <v>0</v>
      </c>
    </row>
    <row r="36" spans="2:5">
      <c r="D36" s="1" t="s">
        <v>29</v>
      </c>
    </row>
    <row r="37" spans="2:5">
      <c r="D37" s="11">
        <f>IF(B22+B30+B34&lt;0,0,B22+B30+B34)</f>
        <v>0</v>
      </c>
    </row>
  </sheetData>
  <sheetProtection algorithmName="SHA-512" hashValue="DrIGFkZAEGRUGl+++qMduFBjNlaAHTizcSdE/MqSqmr/OPzc9XBuIomgDyHzw7KKY3GSIhue89bEoMOq57RxjQ==" saltValue="v/eg/33bBreHW1IqZdP4cQ==" spinCount="100000" sheet="1" objects="1" scenarios="1"/>
  <phoneticPr fontId="2"/>
  <dataValidations count="1">
    <dataValidation type="list" allowBlank="1" showInputMessage="1" showErrorMessage="1" sqref="B18" xr:uid="{00000000-0002-0000-0400-000000000000}">
      <formula1>$Q$2:$Q$4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B1:S37"/>
  <sheetViews>
    <sheetView showGridLines="0" view="pageBreakPreview" zoomScaleNormal="100" zoomScaleSheetLayoutView="100" workbookViewId="0">
      <selection activeCell="E1" sqref="E1:S1048576"/>
    </sheetView>
  </sheetViews>
  <sheetFormatPr defaultRowHeight="13.5"/>
  <cols>
    <col min="1" max="1" width="9" style="1"/>
    <col min="2" max="2" width="20.5" style="1" customWidth="1"/>
    <col min="3" max="3" width="20.25" style="1" customWidth="1"/>
    <col min="4" max="4" width="28" style="1" customWidth="1"/>
    <col min="5" max="5" width="20.5" style="1" hidden="1" customWidth="1"/>
    <col min="6" max="6" width="11.625" style="1" hidden="1" customWidth="1"/>
    <col min="7" max="7" width="15.875" style="1" hidden="1" customWidth="1"/>
    <col min="8" max="8" width="5.375" style="1" hidden="1" customWidth="1"/>
    <col min="9" max="9" width="15.875" style="1" hidden="1" customWidth="1"/>
    <col min="10" max="10" width="9" style="1" hidden="1" customWidth="1"/>
    <col min="11" max="11" width="20.375" style="1" hidden="1" customWidth="1"/>
    <col min="12" max="12" width="13.875" style="1" hidden="1" customWidth="1"/>
    <col min="13" max="13" width="12.75" style="1" hidden="1" customWidth="1"/>
    <col min="14" max="14" width="5.375" style="1" hidden="1" customWidth="1"/>
    <col min="15" max="15" width="14.375" style="1" hidden="1" customWidth="1"/>
    <col min="16" max="17" width="9" style="1" hidden="1" customWidth="1"/>
    <col min="18" max="18" width="10.875" style="1" hidden="1" customWidth="1"/>
    <col min="19" max="19" width="9" style="1" hidden="1" customWidth="1"/>
    <col min="20" max="16384" width="9" style="1"/>
  </cols>
  <sheetData>
    <row r="1" spans="2:19" ht="18.75" customHeight="1"/>
    <row r="2" spans="2:19">
      <c r="B2" s="1" t="s">
        <v>73</v>
      </c>
      <c r="E2" s="1" t="s">
        <v>18</v>
      </c>
      <c r="G2" s="1" t="s">
        <v>23</v>
      </c>
      <c r="Q2" s="1" t="s">
        <v>20</v>
      </c>
    </row>
    <row r="3" spans="2:19">
      <c r="B3" s="23"/>
      <c r="E3" s="3">
        <v>46023</v>
      </c>
      <c r="G3" s="4">
        <f>IF(B10&lt;=10000000,B10,10000000)</f>
        <v>0</v>
      </c>
      <c r="Q3" s="1" t="s">
        <v>33</v>
      </c>
    </row>
    <row r="4" spans="2:19">
      <c r="E4" s="5"/>
      <c r="G4" s="6"/>
    </row>
    <row r="5" spans="2:19">
      <c r="B5" s="1" t="s">
        <v>74</v>
      </c>
      <c r="C5" s="1" t="s">
        <v>103</v>
      </c>
      <c r="E5" s="7" t="s">
        <v>21</v>
      </c>
      <c r="F5" s="7" t="s">
        <v>22</v>
      </c>
      <c r="G5" s="6"/>
    </row>
    <row r="6" spans="2:19">
      <c r="B6" s="23"/>
      <c r="C6" s="2" t="str">
        <f>IF(B6&gt;0,DATEDIF(B6,E3,"Y")," ")</f>
        <v xml:space="preserve"> </v>
      </c>
      <c r="E6" s="11">
        <f>IF(B18="〇",(G3-8500000)*0.1,0)</f>
        <v>0</v>
      </c>
      <c r="F6" s="11">
        <f>IF(E26+E27&gt;100000,E26+E27-100000,0)</f>
        <v>0</v>
      </c>
      <c r="G6" s="6"/>
    </row>
    <row r="7" spans="2:19">
      <c r="B7" s="22" t="s">
        <v>94</v>
      </c>
      <c r="C7" s="21"/>
      <c r="E7" s="5"/>
      <c r="G7" s="6"/>
    </row>
    <row r="8" spans="2:19">
      <c r="E8" s="1" t="s">
        <v>27</v>
      </c>
      <c r="G8" s="6"/>
    </row>
    <row r="9" spans="2:19">
      <c r="B9" s="1" t="s">
        <v>75</v>
      </c>
      <c r="E9" s="11">
        <f>VLOOKUP(B10,F12:I23,2,TRUE)*VLOOKUP(B10,F12:I23,3,TRUE)-VLOOKUP(B10,F12:I23,4,TRUE)</f>
        <v>0</v>
      </c>
      <c r="G9" s="6"/>
      <c r="R9" s="1" t="s">
        <v>77</v>
      </c>
    </row>
    <row r="10" spans="2:19">
      <c r="B10" s="24"/>
      <c r="C10" s="1" t="s">
        <v>5</v>
      </c>
      <c r="K10" s="1" t="s">
        <v>19</v>
      </c>
      <c r="R10" s="1" t="str">
        <f>IF(B10&gt;550000,"〇","×")</f>
        <v>×</v>
      </c>
      <c r="S10" s="1">
        <f>IF(R10="〇",1,0)</f>
        <v>0</v>
      </c>
    </row>
    <row r="11" spans="2:19">
      <c r="B11" s="20"/>
      <c r="E11" s="9" t="s">
        <v>1</v>
      </c>
      <c r="F11" s="9" t="s">
        <v>2</v>
      </c>
      <c r="G11" s="9" t="s">
        <v>4</v>
      </c>
      <c r="H11" s="9" t="s">
        <v>3</v>
      </c>
      <c r="I11" s="9" t="s">
        <v>0</v>
      </c>
      <c r="K11" s="9" t="s">
        <v>6</v>
      </c>
      <c r="L11" s="9" t="s">
        <v>2</v>
      </c>
      <c r="M11" s="9" t="s">
        <v>4</v>
      </c>
      <c r="N11" s="9" t="s">
        <v>3</v>
      </c>
      <c r="O11" s="9" t="s">
        <v>0</v>
      </c>
    </row>
    <row r="12" spans="2:19">
      <c r="B12" s="7" t="s">
        <v>31</v>
      </c>
      <c r="E12" s="9" t="s">
        <v>101</v>
      </c>
      <c r="F12" s="10">
        <v>0</v>
      </c>
      <c r="G12" s="4">
        <f>B10</f>
        <v>0</v>
      </c>
      <c r="H12" s="9">
        <v>1</v>
      </c>
      <c r="I12" s="4">
        <f>B10</f>
        <v>0</v>
      </c>
      <c r="K12" s="9" t="s">
        <v>11</v>
      </c>
      <c r="L12" s="9">
        <v>0</v>
      </c>
      <c r="M12" s="4">
        <v>0</v>
      </c>
      <c r="N12" s="9">
        <v>1</v>
      </c>
      <c r="O12" s="4">
        <f>B26</f>
        <v>0</v>
      </c>
    </row>
    <row r="13" spans="2:19">
      <c r="B13" s="7" t="s">
        <v>34</v>
      </c>
      <c r="E13" s="9" t="s">
        <v>102</v>
      </c>
      <c r="F13" s="10">
        <v>651000</v>
      </c>
      <c r="G13" s="4">
        <f>B10</f>
        <v>0</v>
      </c>
      <c r="H13" s="9">
        <v>1</v>
      </c>
      <c r="I13" s="10">
        <v>650000</v>
      </c>
      <c r="K13" s="9" t="s">
        <v>12</v>
      </c>
      <c r="L13" s="10">
        <v>600001</v>
      </c>
      <c r="M13" s="4">
        <v>0</v>
      </c>
      <c r="N13" s="9">
        <v>1</v>
      </c>
      <c r="O13" s="4">
        <v>600000</v>
      </c>
    </row>
    <row r="14" spans="2:19">
      <c r="B14" s="7" t="s">
        <v>76</v>
      </c>
      <c r="E14" s="9"/>
      <c r="F14" s="10"/>
      <c r="G14" s="4"/>
      <c r="H14" s="9"/>
      <c r="I14" s="10"/>
      <c r="K14" s="9"/>
      <c r="L14" s="10"/>
      <c r="M14" s="4"/>
      <c r="N14" s="9"/>
      <c r="O14" s="4"/>
    </row>
    <row r="15" spans="2:19">
      <c r="B15" s="7" t="s">
        <v>35</v>
      </c>
      <c r="E15" s="9" t="s">
        <v>97</v>
      </c>
      <c r="F15" s="10">
        <v>1900000</v>
      </c>
      <c r="G15" s="4">
        <f>ROUNDDOWN(B10/4,-3)</f>
        <v>0</v>
      </c>
      <c r="H15" s="9">
        <v>2.8</v>
      </c>
      <c r="I15" s="10">
        <v>80000</v>
      </c>
      <c r="K15" s="9" t="s">
        <v>14</v>
      </c>
      <c r="L15" s="10">
        <v>1300001</v>
      </c>
      <c r="M15" s="4">
        <f>B26*0.25</f>
        <v>0</v>
      </c>
      <c r="N15" s="9">
        <v>1</v>
      </c>
      <c r="O15" s="10">
        <v>275000</v>
      </c>
    </row>
    <row r="16" spans="2:19">
      <c r="B16" s="7"/>
      <c r="E16" s="9" t="s">
        <v>98</v>
      </c>
      <c r="F16" s="10">
        <v>3600000</v>
      </c>
      <c r="G16" s="4">
        <f>ROUNDDOWN(B10/4,-3)</f>
        <v>0</v>
      </c>
      <c r="H16" s="9">
        <v>3.2</v>
      </c>
      <c r="I16" s="10">
        <v>440000</v>
      </c>
      <c r="K16" s="9" t="s">
        <v>8</v>
      </c>
      <c r="L16" s="10">
        <v>4100001</v>
      </c>
      <c r="M16" s="4">
        <f>B26*0.15</f>
        <v>0</v>
      </c>
      <c r="N16" s="9">
        <v>1</v>
      </c>
      <c r="O16" s="10">
        <v>685000</v>
      </c>
    </row>
    <row r="17" spans="2:19">
      <c r="B17" s="7" t="s">
        <v>37</v>
      </c>
      <c r="E17" s="9" t="s">
        <v>99</v>
      </c>
      <c r="F17" s="10">
        <v>6600000</v>
      </c>
      <c r="G17" s="4">
        <f>B10</f>
        <v>0</v>
      </c>
      <c r="H17" s="9">
        <v>0.9</v>
      </c>
      <c r="I17" s="10">
        <v>1100000</v>
      </c>
      <c r="K17" s="9" t="s">
        <v>9</v>
      </c>
      <c r="L17" s="10">
        <v>7700001</v>
      </c>
      <c r="M17" s="4">
        <f>B26*0.05</f>
        <v>0</v>
      </c>
      <c r="N17" s="9">
        <v>1</v>
      </c>
      <c r="O17" s="10">
        <v>1455000</v>
      </c>
    </row>
    <row r="18" spans="2:19">
      <c r="B18" s="25"/>
      <c r="C18" s="1" t="s">
        <v>36</v>
      </c>
      <c r="E18" s="9" t="s">
        <v>100</v>
      </c>
      <c r="F18" s="10">
        <v>8500000</v>
      </c>
      <c r="G18" s="4">
        <f>B10</f>
        <v>0</v>
      </c>
      <c r="H18" s="9">
        <v>1</v>
      </c>
      <c r="I18" s="10">
        <v>1950000</v>
      </c>
      <c r="K18" s="9" t="s">
        <v>10</v>
      </c>
      <c r="L18" s="10">
        <v>10000001</v>
      </c>
      <c r="M18" s="4">
        <v>0</v>
      </c>
      <c r="N18" s="9">
        <v>1</v>
      </c>
      <c r="O18" s="10">
        <v>1955000</v>
      </c>
    </row>
    <row r="19" spans="2:19">
      <c r="B19" s="7"/>
      <c r="C19" s="8"/>
      <c r="E19" s="87"/>
      <c r="F19" s="10"/>
      <c r="G19" s="4"/>
      <c r="H19" s="9"/>
      <c r="I19" s="10"/>
      <c r="K19" s="14" t="s">
        <v>17</v>
      </c>
    </row>
    <row r="20" spans="2:19">
      <c r="B20" s="7"/>
      <c r="C20" s="12"/>
      <c r="E20" s="9"/>
      <c r="F20" s="10"/>
      <c r="G20" s="4"/>
      <c r="H20" s="9"/>
      <c r="I20" s="10"/>
      <c r="K20" s="9" t="s">
        <v>6</v>
      </c>
      <c r="L20" s="9" t="s">
        <v>2</v>
      </c>
      <c r="M20" s="9" t="s">
        <v>4</v>
      </c>
      <c r="N20" s="9" t="s">
        <v>3</v>
      </c>
      <c r="O20" s="9" t="s">
        <v>0</v>
      </c>
    </row>
    <row r="21" spans="2:19">
      <c r="B21" s="1" t="s">
        <v>28</v>
      </c>
      <c r="C21" s="7"/>
      <c r="E21" s="19"/>
      <c r="F21" s="10"/>
      <c r="G21" s="4"/>
      <c r="H21" s="9"/>
      <c r="I21" s="10"/>
      <c r="K21" s="9" t="s">
        <v>16</v>
      </c>
      <c r="L21" s="9">
        <v>0</v>
      </c>
      <c r="M21" s="4">
        <v>0</v>
      </c>
      <c r="N21" s="9">
        <v>1</v>
      </c>
      <c r="O21" s="4">
        <f>B26</f>
        <v>0</v>
      </c>
    </row>
    <row r="22" spans="2:19">
      <c r="B22" s="13">
        <f>E9-(E6+F6)</f>
        <v>0</v>
      </c>
      <c r="C22" s="16"/>
      <c r="E22" s="19"/>
      <c r="F22" s="10"/>
      <c r="G22" s="4"/>
      <c r="H22" s="9"/>
      <c r="I22" s="10"/>
      <c r="K22" s="9" t="s">
        <v>15</v>
      </c>
      <c r="L22" s="10">
        <v>1100001</v>
      </c>
      <c r="M22" s="4">
        <v>0</v>
      </c>
      <c r="N22" s="9">
        <v>1</v>
      </c>
      <c r="O22" s="4">
        <v>1100000</v>
      </c>
    </row>
    <row r="23" spans="2:19">
      <c r="E23" s="9"/>
      <c r="F23" s="10"/>
      <c r="G23" s="4"/>
      <c r="H23" s="9"/>
      <c r="I23" s="10"/>
      <c r="K23" s="9" t="s">
        <v>7</v>
      </c>
      <c r="L23" s="10">
        <v>3300001</v>
      </c>
      <c r="M23" s="4">
        <f>B26*0.25</f>
        <v>0</v>
      </c>
      <c r="N23" s="9">
        <v>1</v>
      </c>
      <c r="O23" s="10">
        <v>275000</v>
      </c>
    </row>
    <row r="24" spans="2:19">
      <c r="K24" s="9" t="s">
        <v>8</v>
      </c>
      <c r="L24" s="10">
        <v>4100001</v>
      </c>
      <c r="M24" s="4">
        <f>B26*0.15</f>
        <v>0</v>
      </c>
      <c r="N24" s="9">
        <v>1</v>
      </c>
      <c r="O24" s="10">
        <v>685000</v>
      </c>
    </row>
    <row r="25" spans="2:19">
      <c r="B25" s="1" t="s">
        <v>38</v>
      </c>
      <c r="E25" s="1" t="s">
        <v>24</v>
      </c>
      <c r="K25" s="9" t="s">
        <v>9</v>
      </c>
      <c r="L25" s="10">
        <v>7700001</v>
      </c>
      <c r="M25" s="4">
        <f>B26*0.05</f>
        <v>0</v>
      </c>
      <c r="N25" s="9">
        <v>1</v>
      </c>
      <c r="O25" s="10">
        <v>1455000</v>
      </c>
      <c r="R25" s="1" t="s">
        <v>77</v>
      </c>
    </row>
    <row r="26" spans="2:19">
      <c r="B26" s="24"/>
      <c r="C26" s="1" t="s">
        <v>5</v>
      </c>
      <c r="E26" s="4">
        <f>IF(E9&lt;100000,E9,100000)</f>
        <v>0</v>
      </c>
      <c r="F26" s="9" t="s">
        <v>25</v>
      </c>
      <c r="K26" s="9" t="s">
        <v>10</v>
      </c>
      <c r="L26" s="10">
        <v>10000001</v>
      </c>
      <c r="M26" s="4">
        <v>0</v>
      </c>
      <c r="N26" s="9">
        <v>1</v>
      </c>
      <c r="O26" s="10">
        <v>1955000</v>
      </c>
      <c r="R26" s="1">
        <f>IF(C6&lt;65,B26-600000,0)</f>
        <v>0</v>
      </c>
      <c r="S26" s="1">
        <f>IF(R26+R27&gt;0,1,0)</f>
        <v>0</v>
      </c>
    </row>
    <row r="27" spans="2:19">
      <c r="B27" s="20"/>
      <c r="E27" s="4">
        <f>IF(B30&lt;100000,B30,100000)</f>
        <v>0</v>
      </c>
      <c r="F27" s="9" t="s">
        <v>26</v>
      </c>
      <c r="R27" s="1">
        <f>IF(C6&gt;=65,B26-1250000,0)</f>
        <v>-1250000</v>
      </c>
    </row>
    <row r="29" spans="2:19">
      <c r="B29" s="1" t="s">
        <v>13</v>
      </c>
      <c r="D29" s="18"/>
    </row>
    <row r="30" spans="2:19">
      <c r="B30" s="15">
        <f>IF(C6&lt;65,B26-(VLOOKUP(B26,L12:O18,2,TRUE)+VLOOKUP(B26,L12:O18,4,TRUE)),IF(C6&gt;=65,B26-(VLOOKUP(B26,L21:O26,2,TRUE)+VLOOKUP(B26,L21:O26,4,TRUE))))</f>
        <v>0</v>
      </c>
      <c r="C30" s="17"/>
      <c r="D30" s="7"/>
      <c r="E30" s="1" t="s">
        <v>84</v>
      </c>
      <c r="R30" s="1" t="s">
        <v>78</v>
      </c>
    </row>
    <row r="31" spans="2:19">
      <c r="E31" s="1">
        <f>IF(C6&gt;64,B30,0)</f>
        <v>0</v>
      </c>
      <c r="R31" s="1">
        <f>IF(S10+S26&gt;=1,1,0)</f>
        <v>0</v>
      </c>
    </row>
    <row r="32" spans="2:19">
      <c r="E32" s="1">
        <f>IF(E31&lt;150000,E31,150000)</f>
        <v>0</v>
      </c>
    </row>
    <row r="33" spans="2:5">
      <c r="B33" s="1" t="s">
        <v>39</v>
      </c>
      <c r="E33" s="1">
        <f>IF(E32&gt;0,E32,0)</f>
        <v>0</v>
      </c>
    </row>
    <row r="34" spans="2:5">
      <c r="B34" s="24"/>
      <c r="C34" s="1" t="s">
        <v>5</v>
      </c>
    </row>
    <row r="35" spans="2:5">
      <c r="B35" s="1" t="s">
        <v>30</v>
      </c>
      <c r="E35" s="1">
        <f>IF(B6&gt;0,1,0)</f>
        <v>0</v>
      </c>
    </row>
    <row r="36" spans="2:5">
      <c r="D36" s="1" t="s">
        <v>29</v>
      </c>
    </row>
    <row r="37" spans="2:5">
      <c r="D37" s="11">
        <f>IF(B22+B30+B34&lt;0,0,B22+B30+B34)</f>
        <v>0</v>
      </c>
    </row>
  </sheetData>
  <sheetProtection algorithmName="SHA-512" hashValue="6muuvlABw45gfCxsTGdWVZGoWU5RRREF1dKmTDxpzvQTeeEltsXtIBPaGvcE0NjiygS6ca2Nq1eR6x9jEHt3PA==" saltValue="5818j8kNhql4baEE1qN6Gg==" spinCount="100000" sheet="1" objects="1" scenarios="1"/>
  <phoneticPr fontId="2"/>
  <dataValidations count="1">
    <dataValidation type="list" allowBlank="1" showInputMessage="1" showErrorMessage="1" sqref="B18" xr:uid="{00000000-0002-0000-0500-000000000000}">
      <formula1>$Q$2:$Q$4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保険料試算シート</vt:lpstr>
      <vt:lpstr>加入者</vt:lpstr>
      <vt:lpstr>世帯主</vt:lpstr>
      <vt:lpstr>被保険者（1人目）</vt:lpstr>
      <vt:lpstr>被保険者（2人目）</vt:lpstr>
      <vt:lpstr>被保険者（3人目）</vt:lpstr>
      <vt:lpstr>加入者!Print_Area</vt:lpstr>
      <vt:lpstr>世帯主!Print_Area</vt:lpstr>
      <vt:lpstr>'被保険者（1人目）'!Print_Area</vt:lpstr>
      <vt:lpstr>'被保険者（2人目）'!Print_Area</vt:lpstr>
      <vt:lpstr>'被保険者（3人目）'!Print_Area</vt:lpstr>
      <vt:lpstr>保険料試算シート!Print_Area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2026-07-21T05:16:45Z</dcterms:modified>
</cp:coreProperties>
</file>