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24F62DB-4CC4-4AE4-B327-65438321952A}" xr6:coauthVersionLast="47" xr6:coauthVersionMax="47" xr10:uidLastSave="{00000000-0000-0000-0000-000000000000}"/>
  <workbookProtection workbookAlgorithmName="SHA-512" workbookHashValue="81CDxllRDknFRcVUl/EgR1WTbs/nHHTvMcntshbTLSJVgEPIWYOnJvbEotYbRySqICf6AleRCgHnnduBkCfW2Q==" workbookSaltValue="Yg8N6xqQRibi6h/IwrYz4Q==" workbookSpinCount="100000" lockStructure="1"/>
  <bookViews>
    <workbookView xWindow="-120" yWindow="-120" windowWidth="19800" windowHeight="11760" xr2:uid="{00000000-000D-0000-FFFF-FFFF00000000}"/>
  </bookViews>
  <sheets>
    <sheet name="保険税試算シート" sheetId="3" r:id="rId1"/>
    <sheet name="加入者（1人目）" sheetId="1" r:id="rId2"/>
    <sheet name="加入者（2人目）" sheetId="5" r:id="rId3"/>
    <sheet name="加入者（3人目）" sheetId="6" r:id="rId4"/>
    <sheet name="加入者（4人目）" sheetId="7" r:id="rId5"/>
    <sheet name="加入者（5人目）" sheetId="8" r:id="rId6"/>
    <sheet name="加入者（6人目）" sheetId="2" r:id="rId7"/>
    <sheet name="世帯主" sheetId="9" r:id="rId8"/>
  </sheets>
  <definedNames>
    <definedName name="_xlnm.Print_Area" localSheetId="1">'加入者（1人目）'!$A$1:$D$37</definedName>
    <definedName name="_xlnm.Print_Area" localSheetId="2">'加入者（2人目）'!$A$1:$D$37</definedName>
    <definedName name="_xlnm.Print_Area" localSheetId="3">'加入者（3人目）'!$A$1:$D$37</definedName>
    <definedName name="_xlnm.Print_Area" localSheetId="4">'加入者（4人目）'!$A$1:$D$37</definedName>
    <definedName name="_xlnm.Print_Area" localSheetId="5">'加入者（5人目）'!$A$1:$D$37</definedName>
    <definedName name="_xlnm.Print_Area" localSheetId="6">'加入者（6人目）'!$A$1:$E$37</definedName>
    <definedName name="_xlnm.Print_Area" localSheetId="7">世帯主!$A$1:$D$37</definedName>
    <definedName name="_xlnm.Print_Area" localSheetId="0">保険税試算シート!$A$1:$AE$85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  <c r="C6" i="1"/>
  <c r="M25" i="6"/>
  <c r="M24" i="6"/>
  <c r="M23" i="6"/>
  <c r="G23" i="6"/>
  <c r="G22" i="6"/>
  <c r="O21" i="6"/>
  <c r="G21" i="6"/>
  <c r="G20" i="6"/>
  <c r="G19" i="6"/>
  <c r="I18" i="6"/>
  <c r="G18" i="6"/>
  <c r="M17" i="6"/>
  <c r="I17" i="6"/>
  <c r="G17" i="6"/>
  <c r="M16" i="6"/>
  <c r="I16" i="6"/>
  <c r="G16" i="6"/>
  <c r="M15" i="6"/>
  <c r="I15" i="6"/>
  <c r="G15" i="6"/>
  <c r="G13" i="6"/>
  <c r="O12" i="6"/>
  <c r="I12" i="6"/>
  <c r="G12" i="6"/>
  <c r="E9" i="6" s="1"/>
  <c r="R10" i="6"/>
  <c r="S10" i="6" s="1"/>
  <c r="E6" i="6"/>
  <c r="C6" i="6"/>
  <c r="R26" i="6" s="1"/>
  <c r="G3" i="6"/>
  <c r="M25" i="7"/>
  <c r="M24" i="7"/>
  <c r="M23" i="7"/>
  <c r="G23" i="7"/>
  <c r="G22" i="7"/>
  <c r="O21" i="7"/>
  <c r="G21" i="7"/>
  <c r="G20" i="7"/>
  <c r="G19" i="7"/>
  <c r="I18" i="7"/>
  <c r="G18" i="7"/>
  <c r="M17" i="7"/>
  <c r="I17" i="7"/>
  <c r="G17" i="7"/>
  <c r="M16" i="7"/>
  <c r="I16" i="7"/>
  <c r="G16" i="7"/>
  <c r="M15" i="7"/>
  <c r="I15" i="7"/>
  <c r="G15" i="7"/>
  <c r="G13" i="7"/>
  <c r="O12" i="7"/>
  <c r="I12" i="7"/>
  <c r="G12" i="7"/>
  <c r="E9" i="7" s="1"/>
  <c r="R10" i="7"/>
  <c r="S10" i="7" s="1"/>
  <c r="E6" i="7"/>
  <c r="C6" i="7"/>
  <c r="B30" i="7" s="1"/>
  <c r="G3" i="7"/>
  <c r="M25" i="8"/>
  <c r="M24" i="8"/>
  <c r="M23" i="8"/>
  <c r="G23" i="8"/>
  <c r="G22" i="8"/>
  <c r="O21" i="8"/>
  <c r="G21" i="8"/>
  <c r="G20" i="8"/>
  <c r="G19" i="8"/>
  <c r="I18" i="8"/>
  <c r="G18" i="8"/>
  <c r="M17" i="8"/>
  <c r="I17" i="8"/>
  <c r="G17" i="8"/>
  <c r="M16" i="8"/>
  <c r="I16" i="8"/>
  <c r="G16" i="8"/>
  <c r="M15" i="8"/>
  <c r="I15" i="8"/>
  <c r="G15" i="8"/>
  <c r="G13" i="8"/>
  <c r="O12" i="8"/>
  <c r="I12" i="8"/>
  <c r="G12" i="8"/>
  <c r="E9" i="8" s="1"/>
  <c r="E26" i="8" s="1"/>
  <c r="R10" i="8"/>
  <c r="S10" i="8" s="1"/>
  <c r="E6" i="8"/>
  <c r="C6" i="8"/>
  <c r="R27" i="8" s="1"/>
  <c r="G3" i="8"/>
  <c r="M25" i="2"/>
  <c r="M24" i="2"/>
  <c r="M23" i="2"/>
  <c r="G23" i="2"/>
  <c r="G22" i="2"/>
  <c r="O21" i="2"/>
  <c r="G21" i="2"/>
  <c r="G20" i="2"/>
  <c r="G19" i="2"/>
  <c r="I18" i="2"/>
  <c r="G18" i="2"/>
  <c r="M17" i="2"/>
  <c r="I17" i="2"/>
  <c r="G17" i="2"/>
  <c r="M16" i="2"/>
  <c r="I16" i="2"/>
  <c r="G16" i="2"/>
  <c r="M15" i="2"/>
  <c r="I15" i="2"/>
  <c r="G15" i="2"/>
  <c r="G13" i="2"/>
  <c r="E9" i="2" s="1"/>
  <c r="O12" i="2"/>
  <c r="I12" i="2"/>
  <c r="G12" i="2"/>
  <c r="R10" i="2"/>
  <c r="S10" i="2" s="1"/>
  <c r="E6" i="2"/>
  <c r="C6" i="2"/>
  <c r="R26" i="2" s="1"/>
  <c r="G3" i="2"/>
  <c r="M25" i="5"/>
  <c r="M24" i="5"/>
  <c r="M23" i="5"/>
  <c r="G23" i="5"/>
  <c r="G22" i="5"/>
  <c r="O21" i="5"/>
  <c r="G21" i="5"/>
  <c r="G20" i="5"/>
  <c r="G19" i="5"/>
  <c r="I18" i="5"/>
  <c r="G18" i="5"/>
  <c r="M17" i="5"/>
  <c r="I17" i="5"/>
  <c r="G17" i="5"/>
  <c r="M16" i="5"/>
  <c r="I16" i="5"/>
  <c r="G16" i="5"/>
  <c r="M15" i="5"/>
  <c r="I15" i="5"/>
  <c r="G15" i="5"/>
  <c r="G13" i="5"/>
  <c r="O12" i="5"/>
  <c r="I12" i="5"/>
  <c r="G12" i="5"/>
  <c r="R10" i="5"/>
  <c r="S10" i="5" s="1"/>
  <c r="E6" i="5"/>
  <c r="C6" i="5"/>
  <c r="R27" i="5" s="1"/>
  <c r="G3" i="5"/>
  <c r="E9" i="5" l="1"/>
  <c r="E26" i="5" s="1"/>
  <c r="B30" i="5"/>
  <c r="E27" i="5" s="1"/>
  <c r="R27" i="2"/>
  <c r="S26" i="2" s="1"/>
  <c r="R31" i="2" s="1"/>
  <c r="B30" i="2"/>
  <c r="E27" i="2" s="1"/>
  <c r="R27" i="6"/>
  <c r="S26" i="6" s="1"/>
  <c r="R31" i="6" s="1"/>
  <c r="E26" i="7"/>
  <c r="E27" i="7"/>
  <c r="E31" i="7"/>
  <c r="E32" i="7" s="1"/>
  <c r="E33" i="7" s="1"/>
  <c r="R26" i="5"/>
  <c r="S26" i="5" s="1"/>
  <c r="R31" i="5" s="1"/>
  <c r="B30" i="6"/>
  <c r="R26" i="8"/>
  <c r="S26" i="8" s="1"/>
  <c r="R31" i="8" s="1"/>
  <c r="E26" i="2"/>
  <c r="B30" i="8"/>
  <c r="E27" i="8" s="1"/>
  <c r="F6" i="8" s="1"/>
  <c r="B22" i="8" s="1"/>
  <c r="D37" i="8" s="1"/>
  <c r="E26" i="6"/>
  <c r="R26" i="7"/>
  <c r="R27" i="7"/>
  <c r="N62" i="3"/>
  <c r="N59" i="3"/>
  <c r="O55" i="3"/>
  <c r="N45" i="3"/>
  <c r="N42" i="3"/>
  <c r="O38" i="3"/>
  <c r="O21" i="3"/>
  <c r="N28" i="3"/>
  <c r="N25" i="3"/>
  <c r="F5" i="3"/>
  <c r="S26" i="7" l="1"/>
  <c r="R31" i="7" s="1"/>
  <c r="E31" i="5"/>
  <c r="E32" i="5" s="1"/>
  <c r="E33" i="5" s="1"/>
  <c r="F6" i="5"/>
  <c r="B22" i="5" s="1"/>
  <c r="D37" i="5" s="1"/>
  <c r="E31" i="2"/>
  <c r="E32" i="2" s="1"/>
  <c r="E33" i="2" s="1"/>
  <c r="F6" i="2"/>
  <c r="B22" i="2" s="1"/>
  <c r="D37" i="2" s="1"/>
  <c r="E27" i="6"/>
  <c r="F6" i="6" s="1"/>
  <c r="B22" i="6" s="1"/>
  <c r="D37" i="6" s="1"/>
  <c r="E31" i="6"/>
  <c r="E32" i="6" s="1"/>
  <c r="E33" i="6" s="1"/>
  <c r="F6" i="7"/>
  <c r="B22" i="7" s="1"/>
  <c r="D37" i="7" s="1"/>
  <c r="E31" i="8"/>
  <c r="E32" i="8" s="1"/>
  <c r="E33" i="8" s="1"/>
  <c r="M25" i="9"/>
  <c r="M24" i="9"/>
  <c r="M23" i="9"/>
  <c r="G23" i="9"/>
  <c r="G22" i="9"/>
  <c r="O21" i="9"/>
  <c r="G21" i="9"/>
  <c r="G20" i="9"/>
  <c r="G19" i="9"/>
  <c r="I18" i="9"/>
  <c r="G18" i="9"/>
  <c r="M17" i="9"/>
  <c r="I17" i="9"/>
  <c r="G17" i="9"/>
  <c r="M16" i="9"/>
  <c r="I16" i="9"/>
  <c r="G16" i="9"/>
  <c r="M15" i="9"/>
  <c r="I15" i="9"/>
  <c r="G15" i="9"/>
  <c r="G13" i="9"/>
  <c r="O12" i="9"/>
  <c r="I12" i="9"/>
  <c r="G12" i="9"/>
  <c r="R10" i="9"/>
  <c r="S10" i="9" s="1"/>
  <c r="E6" i="9"/>
  <c r="C6" i="9"/>
  <c r="B30" i="9" s="1"/>
  <c r="G3" i="9"/>
  <c r="E9" i="9" l="1"/>
  <c r="E26" i="9" s="1"/>
  <c r="R27" i="9"/>
  <c r="E31" i="9"/>
  <c r="E27" i="9"/>
  <c r="R26" i="9"/>
  <c r="AJ20" i="3"/>
  <c r="BX4" i="3" s="1"/>
  <c r="H77" i="3"/>
  <c r="K9" i="3" l="1"/>
  <c r="AF9" i="3" s="1"/>
  <c r="O5" i="3"/>
  <c r="S26" i="9"/>
  <c r="R31" i="9" s="1"/>
  <c r="E32" i="9"/>
  <c r="E33" i="9" s="1"/>
  <c r="F6" i="9"/>
  <c r="B22" i="9" s="1"/>
  <c r="D37" i="9" s="1"/>
  <c r="F6" i="3"/>
  <c r="AJ21" i="3" s="1"/>
  <c r="BX5" i="3" s="1"/>
  <c r="O6" i="3" l="1"/>
  <c r="Z11" i="3"/>
  <c r="K10" i="3" l="1"/>
  <c r="AF10" i="3" s="1"/>
  <c r="R10" i="1"/>
  <c r="S10" i="1" s="1"/>
  <c r="R27" i="1" l="1"/>
  <c r="R26" i="1"/>
  <c r="K6" i="3"/>
  <c r="AK21" i="3" s="1"/>
  <c r="K7" i="3"/>
  <c r="K8" i="3"/>
  <c r="S26" i="1" l="1"/>
  <c r="R31" i="1" s="1"/>
  <c r="AF16" i="3" s="1"/>
  <c r="Z14" i="3" s="1"/>
  <c r="AL10" i="3"/>
  <c r="AL9" i="3"/>
  <c r="AL8" i="3"/>
  <c r="AL7" i="3"/>
  <c r="AL6" i="3"/>
  <c r="AL5" i="3"/>
  <c r="A10" i="3"/>
  <c r="O14" i="3" l="1"/>
  <c r="AF7" i="3"/>
  <c r="AF6" i="3"/>
  <c r="AF8" i="3"/>
  <c r="E10" i="3"/>
  <c r="F10" i="3"/>
  <c r="F9" i="3"/>
  <c r="AJ24" i="3" s="1"/>
  <c r="BX8" i="3" s="1"/>
  <c r="F8" i="3"/>
  <c r="AJ23" i="3" s="1"/>
  <c r="BX7" i="3" s="1"/>
  <c r="F7" i="3"/>
  <c r="AJ22" i="3" s="1"/>
  <c r="BX6" i="3" s="1"/>
  <c r="A9" i="3"/>
  <c r="E9" i="3" s="1"/>
  <c r="A8" i="3"/>
  <c r="E8" i="3" s="1"/>
  <c r="A7" i="3"/>
  <c r="A6" i="3"/>
  <c r="E6" i="3" s="1"/>
  <c r="A80" i="3"/>
  <c r="W1" i="3"/>
  <c r="AK24" i="3" l="1"/>
  <c r="O9" i="3"/>
  <c r="AX9" i="3"/>
  <c r="AJ25" i="3"/>
  <c r="O8" i="3"/>
  <c r="AK23" i="3"/>
  <c r="AK22" i="3"/>
  <c r="O7" i="3"/>
  <c r="BG8" i="3"/>
  <c r="BC8" i="3"/>
  <c r="AY8" i="3"/>
  <c r="BH8" i="3"/>
  <c r="BD8" i="3"/>
  <c r="AZ8" i="3"/>
  <c r="BF8" i="3"/>
  <c r="BB8" i="3"/>
  <c r="BI8" i="3"/>
  <c r="BE8" i="3"/>
  <c r="BA8" i="3"/>
  <c r="AX8" i="3"/>
  <c r="BH5" i="3"/>
  <c r="BD5" i="3"/>
  <c r="AZ5" i="3"/>
  <c r="AX5" i="3"/>
  <c r="BB5" i="3"/>
  <c r="BI5" i="3"/>
  <c r="BE5" i="3"/>
  <c r="BA5" i="3"/>
  <c r="BG5" i="3"/>
  <c r="BC5" i="3"/>
  <c r="AY5" i="3"/>
  <c r="BF5" i="3"/>
  <c r="BH9" i="3"/>
  <c r="BD9" i="3"/>
  <c r="AZ9" i="3"/>
  <c r="BI9" i="3"/>
  <c r="BE9" i="3"/>
  <c r="BA9" i="3"/>
  <c r="BG9" i="3"/>
  <c r="BC9" i="3"/>
  <c r="AY9" i="3"/>
  <c r="BF9" i="3"/>
  <c r="BB9" i="3"/>
  <c r="BG6" i="3"/>
  <c r="BC6" i="3"/>
  <c r="AY6" i="3"/>
  <c r="BI6" i="3"/>
  <c r="BA6" i="3"/>
  <c r="BH6" i="3"/>
  <c r="BD6" i="3"/>
  <c r="AZ6" i="3"/>
  <c r="BF6" i="3"/>
  <c r="BB6" i="3"/>
  <c r="AX6" i="3"/>
  <c r="BE6" i="3"/>
  <c r="BG4" i="3"/>
  <c r="BC4" i="3"/>
  <c r="AY4" i="3"/>
  <c r="BE4" i="3"/>
  <c r="BA4" i="3"/>
  <c r="BH4" i="3"/>
  <c r="AZ4" i="3"/>
  <c r="BF4" i="3"/>
  <c r="BB4" i="3"/>
  <c r="AX4" i="3"/>
  <c r="BI4" i="3"/>
  <c r="BD4" i="3"/>
  <c r="BH7" i="3"/>
  <c r="BG7" i="3"/>
  <c r="BC7" i="3"/>
  <c r="AY7" i="3"/>
  <c r="BE7" i="3"/>
  <c r="BI7" i="3"/>
  <c r="BD7" i="3"/>
  <c r="AZ7" i="3"/>
  <c r="BF7" i="3"/>
  <c r="BB7" i="3"/>
  <c r="AX7" i="3"/>
  <c r="BA7" i="3"/>
  <c r="J5" i="3"/>
  <c r="E5" i="3"/>
  <c r="J10" i="3"/>
  <c r="J9" i="3"/>
  <c r="E7" i="3"/>
  <c r="J8" i="3"/>
  <c r="AH8" i="3" s="1"/>
  <c r="J6" i="3"/>
  <c r="AH6" i="3" s="1"/>
  <c r="J7" i="3"/>
  <c r="BX9" i="3" l="1"/>
  <c r="BX10" i="3" s="1"/>
  <c r="AK25" i="3"/>
  <c r="O10" i="3"/>
  <c r="O16" i="3" s="1"/>
  <c r="AZ10" i="3"/>
  <c r="AZ12" i="3" s="1"/>
  <c r="AZ11" i="3"/>
  <c r="AZ14" i="3" s="1"/>
  <c r="AX10" i="3"/>
  <c r="AX11" i="3"/>
  <c r="BC11" i="3"/>
  <c r="BC14" i="3" s="1"/>
  <c r="BC10" i="3"/>
  <c r="BC12" i="3" s="1"/>
  <c r="BB11" i="3"/>
  <c r="BB14" i="3" s="1"/>
  <c r="BB10" i="3"/>
  <c r="BB12" i="3" s="1"/>
  <c r="BA11" i="3"/>
  <c r="BA14" i="3" s="1"/>
  <c r="BA10" i="3"/>
  <c r="BA12" i="3" s="1"/>
  <c r="BG11" i="3"/>
  <c r="BG14" i="3" s="1"/>
  <c r="BG10" i="3"/>
  <c r="BG12" i="3" s="1"/>
  <c r="BK8" i="3"/>
  <c r="BI11" i="3"/>
  <c r="BI14" i="3" s="1"/>
  <c r="BI10" i="3"/>
  <c r="BI12" i="3" s="1"/>
  <c r="AY11" i="3"/>
  <c r="AY14" i="3" s="1"/>
  <c r="AY10" i="3"/>
  <c r="AY12" i="3" s="1"/>
  <c r="BH10" i="3"/>
  <c r="BH12" i="3" s="1"/>
  <c r="BH11" i="3"/>
  <c r="BH14" i="3" s="1"/>
  <c r="BD10" i="3"/>
  <c r="BD12" i="3" s="1"/>
  <c r="BD11" i="3"/>
  <c r="BD14" i="3" s="1"/>
  <c r="BF11" i="3"/>
  <c r="BF14" i="3" s="1"/>
  <c r="BF10" i="3"/>
  <c r="BF12" i="3" s="1"/>
  <c r="BE10" i="3"/>
  <c r="BE12" i="3" s="1"/>
  <c r="BE11" i="3"/>
  <c r="BE14" i="3" s="1"/>
  <c r="BK4" i="3"/>
  <c r="BK9" i="3"/>
  <c r="BK5" i="3"/>
  <c r="BK7" i="3"/>
  <c r="BK6" i="3"/>
  <c r="BJ8" i="3"/>
  <c r="BJ5" i="3"/>
  <c r="BJ4" i="3"/>
  <c r="BJ7" i="3"/>
  <c r="BJ6" i="3"/>
  <c r="BJ9" i="3"/>
  <c r="AH5" i="3"/>
  <c r="J25" i="3"/>
  <c r="AH10" i="3"/>
  <c r="AH9" i="3"/>
  <c r="AH7" i="3"/>
  <c r="J59" i="3" l="1"/>
  <c r="J42" i="3"/>
  <c r="BL5" i="3"/>
  <c r="BM5" i="3" s="1"/>
  <c r="BN5" i="3"/>
  <c r="BO5" i="3" s="1"/>
  <c r="BL6" i="3"/>
  <c r="BM6" i="3" s="1"/>
  <c r="BN6" i="3"/>
  <c r="BO6" i="3" s="1"/>
  <c r="BP9" i="3"/>
  <c r="BQ9" i="3" s="1"/>
  <c r="AX12" i="3"/>
  <c r="BJ12" i="3" s="1"/>
  <c r="BJ10" i="3"/>
  <c r="BP5" i="3"/>
  <c r="BQ5" i="3" s="1"/>
  <c r="BN8" i="3"/>
  <c r="BO8" i="3" s="1"/>
  <c r="BL8" i="3"/>
  <c r="BM8" i="3" s="1"/>
  <c r="BP6" i="3"/>
  <c r="BQ6" i="3" s="1"/>
  <c r="BL9" i="3"/>
  <c r="BM9" i="3" s="1"/>
  <c r="BN9" i="3"/>
  <c r="BO9" i="3" s="1"/>
  <c r="AX14" i="3"/>
  <c r="BJ14" i="3" s="1"/>
  <c r="BJ11" i="3"/>
  <c r="BN7" i="3"/>
  <c r="BO7" i="3" s="1"/>
  <c r="BL7" i="3"/>
  <c r="BM7" i="3" s="1"/>
  <c r="BP7" i="3"/>
  <c r="BP8" i="3"/>
  <c r="BQ8" i="3" s="1"/>
  <c r="BW7" i="3"/>
  <c r="BQ7" i="3"/>
  <c r="M25" i="1" l="1"/>
  <c r="M24" i="1"/>
  <c r="M23" i="1"/>
  <c r="M15" i="1"/>
  <c r="M16" i="1"/>
  <c r="M17" i="1"/>
  <c r="G23" i="1"/>
  <c r="G22" i="1"/>
  <c r="G21" i="1"/>
  <c r="G20" i="1"/>
  <c r="G19" i="1"/>
  <c r="G18" i="1"/>
  <c r="G17" i="1"/>
  <c r="G16" i="1"/>
  <c r="G15" i="1"/>
  <c r="G13" i="1"/>
  <c r="G12" i="1"/>
  <c r="G3" i="1" l="1"/>
  <c r="E6" i="1" s="1"/>
  <c r="O21" i="1" l="1"/>
  <c r="O12" i="1"/>
  <c r="B30" i="1" s="1"/>
  <c r="E31" i="1" s="1"/>
  <c r="E32" i="1" s="1"/>
  <c r="E33" i="1" s="1"/>
  <c r="AK16" i="3" s="1"/>
  <c r="E27" i="1" l="1"/>
  <c r="I18" i="1" l="1"/>
  <c r="I17" i="1"/>
  <c r="I16" i="1"/>
  <c r="I15" i="1"/>
  <c r="I12" i="1" l="1"/>
  <c r="E9" i="1" s="1"/>
  <c r="E26" i="1" l="1"/>
  <c r="F6" i="1" s="1"/>
  <c r="B22" i="1" s="1"/>
  <c r="AK20" i="3"/>
  <c r="AK27" i="3" s="1"/>
  <c r="D37" i="1" l="1"/>
  <c r="K5" i="3" s="1"/>
  <c r="K12" i="3" l="1"/>
  <c r="C55" i="3" s="1"/>
  <c r="AF5" i="3"/>
  <c r="I55" i="3" s="1"/>
  <c r="K11" i="3"/>
  <c r="AT8" i="3" l="1"/>
  <c r="AR8" i="3" s="1"/>
  <c r="AT7" i="3"/>
  <c r="AR7" i="3" s="1"/>
  <c r="AT9" i="3"/>
  <c r="AR9" i="3" s="1"/>
  <c r="I21" i="3"/>
  <c r="I38" i="3" s="1"/>
  <c r="C21" i="3"/>
  <c r="C38" i="3" s="1"/>
  <c r="BL4" i="3"/>
  <c r="BM4" i="3" s="1"/>
  <c r="AA21" i="3" s="1"/>
  <c r="BN4" i="3"/>
  <c r="BO4" i="3" s="1"/>
  <c r="AA38" i="3" s="1"/>
  <c r="BP4" i="3"/>
  <c r="BQ4" i="3" s="1"/>
  <c r="AA55" i="3" s="1"/>
  <c r="AE55" i="3" s="1"/>
  <c r="S55" i="3" s="1"/>
  <c r="S21" i="3" l="1"/>
  <c r="AS10" i="3"/>
  <c r="M70" i="3" s="1"/>
  <c r="S38" i="3"/>
  <c r="BW6" i="3"/>
  <c r="BT8" i="3" l="1"/>
  <c r="BU8" i="3" s="1"/>
  <c r="BT9" i="3"/>
  <c r="S62" i="3"/>
  <c r="AA62" i="3" s="1"/>
  <c r="W8" i="3"/>
  <c r="BV6" i="3"/>
  <c r="BT5" i="3"/>
  <c r="BU5" i="3" s="1"/>
  <c r="BT7" i="3"/>
  <c r="BU7" i="3" s="1"/>
  <c r="BR4" i="3"/>
  <c r="BS4" i="3" s="1"/>
  <c r="BR8" i="3"/>
  <c r="BS8" i="3" s="1"/>
  <c r="BR9" i="3"/>
  <c r="BS9" i="3" s="1"/>
  <c r="S45" i="3"/>
  <c r="AA45" i="3" s="1"/>
  <c r="BV9" i="3"/>
  <c r="BW9" i="3" s="1"/>
  <c r="BT6" i="3"/>
  <c r="BU6" i="3" s="1"/>
  <c r="BR7" i="3"/>
  <c r="BS7" i="3" s="1"/>
  <c r="BV4" i="3"/>
  <c r="BW4" i="3" s="1"/>
  <c r="BU9" i="3"/>
  <c r="BR6" i="3"/>
  <c r="BS6" i="3" s="1"/>
  <c r="S28" i="3"/>
  <c r="AA28" i="3" s="1"/>
  <c r="BV5" i="3"/>
  <c r="BW5" i="3" s="1"/>
  <c r="BT4" i="3"/>
  <c r="BU4" i="3" s="1"/>
  <c r="BV8" i="3"/>
  <c r="BW8" i="3" s="1"/>
  <c r="BV7" i="3"/>
  <c r="BR5" i="3"/>
  <c r="BS5" i="3" s="1"/>
  <c r="AA42" i="3" l="1"/>
  <c r="AF42" i="3" s="1"/>
  <c r="S42" i="3" s="1"/>
  <c r="AA25" i="3"/>
  <c r="AF25" i="3" s="1"/>
  <c r="S25" i="3" s="1"/>
  <c r="AA59" i="3"/>
  <c r="S59" i="3" s="1"/>
  <c r="S31" i="3" l="1"/>
  <c r="S34" i="3" s="1"/>
  <c r="Z34" i="3" s="1"/>
  <c r="S48" i="3"/>
  <c r="S51" i="3" s="1"/>
  <c r="Z51" i="3" l="1"/>
  <c r="G92" i="3"/>
  <c r="S65" i="3" l="1"/>
  <c r="S68" i="3" s="1"/>
  <c r="G94" i="3"/>
  <c r="G93" i="3"/>
  <c r="Z68" i="3" l="1"/>
  <c r="S71" i="3"/>
  <c r="G91" i="3" l="1"/>
  <c r="Z71" i="3"/>
  <c r="C77" i="3" s="1"/>
  <c r="Y77" i="3" l="1"/>
  <c r="N77" i="3"/>
  <c r="I83" i="3" l="1"/>
  <c r="F83" i="3" s="1"/>
  <c r="I84" i="3"/>
  <c r="F84" i="3" s="1"/>
  <c r="I82" i="3"/>
  <c r="F82" i="3" s="1"/>
  <c r="W83" i="3"/>
  <c r="T83" i="3" s="1"/>
  <c r="W84" i="3"/>
  <c r="T84" i="3" s="1"/>
  <c r="I85" i="3"/>
  <c r="F85" i="3" s="1"/>
  <c r="T85" i="3"/>
  <c r="W82" i="3"/>
  <c r="T8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仮算定がある場合は、１期２期に数字を入力</t>
        </r>
      </text>
    </comment>
  </commentList>
</comments>
</file>

<file path=xl/sharedStrings.xml><?xml version="1.0" encoding="utf-8"?>
<sst xmlns="http://schemas.openxmlformats.org/spreadsheetml/2006/main" count="739" uniqueCount="171">
  <si>
    <t>所得計算方法</t>
    <rPh sb="0" eb="2">
      <t>ショトク</t>
    </rPh>
    <rPh sb="2" eb="4">
      <t>ケイサン</t>
    </rPh>
    <rPh sb="4" eb="6">
      <t>ホウホウ</t>
    </rPh>
    <phoneticPr fontId="2"/>
  </si>
  <si>
    <t>給与収入金額</t>
    <rPh sb="0" eb="2">
      <t>キュウヨ</t>
    </rPh>
    <rPh sb="2" eb="4">
      <t>シュウニュウ</t>
    </rPh>
    <rPh sb="4" eb="6">
      <t>キンガク</t>
    </rPh>
    <phoneticPr fontId="2"/>
  </si>
  <si>
    <t>判定用</t>
    <rPh sb="0" eb="3">
      <t>ハンテイヨウ</t>
    </rPh>
    <phoneticPr fontId="2"/>
  </si>
  <si>
    <t>～550,999</t>
    <phoneticPr fontId="2"/>
  </si>
  <si>
    <t>551,000～1,618,999</t>
    <phoneticPr fontId="2"/>
  </si>
  <si>
    <t>乗率</t>
    <rPh sb="0" eb="2">
      <t>ジョウリツ</t>
    </rPh>
    <phoneticPr fontId="2"/>
  </si>
  <si>
    <t>1,619,000～1,619,999</t>
    <phoneticPr fontId="2"/>
  </si>
  <si>
    <t>1,620,000～1,621,999</t>
    <phoneticPr fontId="2"/>
  </si>
  <si>
    <t>1,622,000～1,623,999</t>
    <phoneticPr fontId="2"/>
  </si>
  <si>
    <t>1,624,000～1,627,999</t>
    <phoneticPr fontId="2"/>
  </si>
  <si>
    <t>1,628,000～1,799,999</t>
    <phoneticPr fontId="2"/>
  </si>
  <si>
    <t>1,800,000～3,599,999</t>
    <phoneticPr fontId="2"/>
  </si>
  <si>
    <t>3,600,000～6,599,999</t>
    <phoneticPr fontId="2"/>
  </si>
  <si>
    <t>6,600,000～8,499,999</t>
    <phoneticPr fontId="2"/>
  </si>
  <si>
    <t>8,500,000～</t>
    <phoneticPr fontId="2"/>
  </si>
  <si>
    <t>基礎数値</t>
    <rPh sb="0" eb="2">
      <t>キソ</t>
    </rPh>
    <rPh sb="2" eb="4">
      <t>スウチ</t>
    </rPh>
    <phoneticPr fontId="2"/>
  </si>
  <si>
    <t>←入力</t>
    <rPh sb="1" eb="3">
      <t>ニュウリョク</t>
    </rPh>
    <phoneticPr fontId="2"/>
  </si>
  <si>
    <t>公的年金等収入金額</t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phoneticPr fontId="2"/>
  </si>
  <si>
    <t>3,300,001～4,100,000</t>
    <phoneticPr fontId="2"/>
  </si>
  <si>
    <t>4,100,001～7,700,000</t>
    <phoneticPr fontId="2"/>
  </si>
  <si>
    <t>7,700,001～10,000,000</t>
    <phoneticPr fontId="2"/>
  </si>
  <si>
    <t>10,000,001～</t>
    <phoneticPr fontId="2"/>
  </si>
  <si>
    <t>～600,000</t>
    <phoneticPr fontId="2"/>
  </si>
  <si>
    <t>600,001～1,300,000</t>
    <phoneticPr fontId="2"/>
  </si>
  <si>
    <t>公的年金等所得</t>
    <rPh sb="0" eb="2">
      <t>コウテキ</t>
    </rPh>
    <rPh sb="2" eb="4">
      <t>ネンキン</t>
    </rPh>
    <rPh sb="4" eb="5">
      <t>トウ</t>
    </rPh>
    <rPh sb="5" eb="7">
      <t>ショトク</t>
    </rPh>
    <phoneticPr fontId="2"/>
  </si>
  <si>
    <t>1,300,001～4,100,000</t>
    <phoneticPr fontId="2"/>
  </si>
  <si>
    <t>1,100,001～3,300,000</t>
    <phoneticPr fontId="2"/>
  </si>
  <si>
    <t>～1,100,000</t>
    <phoneticPr fontId="2"/>
  </si>
  <si>
    <t>65歳以上</t>
    <rPh sb="2" eb="5">
      <t>サイイジョウ</t>
    </rPh>
    <phoneticPr fontId="2"/>
  </si>
  <si>
    <t>基準日</t>
    <rPh sb="0" eb="3">
      <t>キジュンビ</t>
    </rPh>
    <phoneticPr fontId="2"/>
  </si>
  <si>
    <t>65歳未満</t>
    <rPh sb="2" eb="5">
      <t>サイミマン</t>
    </rPh>
    <phoneticPr fontId="2"/>
  </si>
  <si>
    <t>〇</t>
    <phoneticPr fontId="2"/>
  </si>
  <si>
    <t>所得金額調整控除（１）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</si>
  <si>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所得金額調整控除（２）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</si>
  <si>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所得調整控除（１）基準額</t>
    <rPh sb="0" eb="2">
      <t>ショトク</t>
    </rPh>
    <rPh sb="2" eb="4">
      <t>チョウセイ</t>
    </rPh>
    <rPh sb="4" eb="6">
      <t>コウジョ</t>
    </rPh>
    <rPh sb="9" eb="11">
      <t>キジュン</t>
    </rPh>
    <rPh sb="11" eb="12">
      <t>ガク</t>
    </rPh>
    <phoneticPr fontId="2"/>
  </si>
  <si>
    <t>所得金額調整控除（２）基準額</t>
    <rPh sb="0" eb="2">
      <t>ショトク</t>
    </rPh>
    <rPh sb="2" eb="4">
      <t>キンガク</t>
    </rPh>
    <rPh sb="4" eb="6">
      <t>チョウセイ</t>
    </rPh>
    <rPh sb="6" eb="8">
      <t>コウジョ</t>
    </rPh>
    <rPh sb="11" eb="13">
      <t>キジュン</t>
    </rPh>
    <rPh sb="13" eb="14">
      <t>ガク</t>
    </rPh>
    <phoneticPr fontId="2"/>
  </si>
  <si>
    <t>給与</t>
    <rPh sb="0" eb="2">
      <t>キュウヨ</t>
    </rPh>
    <phoneticPr fontId="2"/>
  </si>
  <si>
    <t>年金</t>
    <rPh sb="0" eb="2">
      <t>ネンキン</t>
    </rPh>
    <phoneticPr fontId="2"/>
  </si>
  <si>
    <t>給与所得（給与のみ算定）</t>
    <rPh sb="0" eb="2">
      <t>キュウヨ</t>
    </rPh>
    <rPh sb="2" eb="4">
      <t>ショトク</t>
    </rPh>
    <rPh sb="5" eb="7">
      <t>キュウヨ</t>
    </rPh>
    <rPh sb="9" eb="11">
      <t>サンテイ</t>
    </rPh>
    <phoneticPr fontId="2"/>
  </si>
  <si>
    <t>給与所得</t>
    <phoneticPr fontId="2"/>
  </si>
  <si>
    <t>合計所得</t>
    <rPh sb="0" eb="2">
      <t>ゴウケイ</t>
    </rPh>
    <rPh sb="2" eb="4">
      <t>ショトク</t>
    </rPh>
    <phoneticPr fontId="2"/>
  </si>
  <si>
    <t>※複数の所得がある場合は合計値を入力</t>
    <rPh sb="1" eb="3">
      <t>フクスウ</t>
    </rPh>
    <rPh sb="4" eb="6">
      <t>ショトク</t>
    </rPh>
    <rPh sb="9" eb="11">
      <t>バアイ</t>
    </rPh>
    <rPh sb="12" eb="15">
      <t>ゴウケイチ</t>
    </rPh>
    <rPh sb="16" eb="18">
      <t>ニュウリョク</t>
    </rPh>
    <phoneticPr fontId="2"/>
  </si>
  <si>
    <r>
      <t>※②給与収入が</t>
    </r>
    <r>
      <rPr>
        <u/>
        <sz val="11"/>
        <color rgb="FFFF0000"/>
        <rFont val="HG丸ｺﾞｼｯｸM-PRO"/>
        <family val="3"/>
        <charset val="128"/>
      </rPr>
      <t>850万円を超える場合のみ</t>
    </r>
    <r>
      <rPr>
        <sz val="11"/>
        <color theme="1"/>
        <rFont val="HG丸ｺﾞｼｯｸM-PRO"/>
        <family val="3"/>
        <charset val="128"/>
      </rPr>
      <t>③の欄に〇か×を選択してください。</t>
    </r>
    <rPh sb="2" eb="4">
      <t>キュウヨ</t>
    </rPh>
    <rPh sb="4" eb="6">
      <t>シュウニュウ</t>
    </rPh>
    <rPh sb="10" eb="12">
      <t>マンエン</t>
    </rPh>
    <rPh sb="13" eb="14">
      <t>コ</t>
    </rPh>
    <rPh sb="16" eb="18">
      <t>バアイ</t>
    </rPh>
    <rPh sb="22" eb="23">
      <t>ラン</t>
    </rPh>
    <rPh sb="28" eb="30">
      <t>センタク</t>
    </rPh>
    <phoneticPr fontId="2"/>
  </si>
  <si>
    <t>×</t>
  </si>
  <si>
    <t>×</t>
    <phoneticPr fontId="2"/>
  </si>
  <si>
    <t>Ａ　本人・同一生計配偶者・扶養親族のいずれかが特別障害者である</t>
    <rPh sb="2" eb="4">
      <t>ホンニン</t>
    </rPh>
    <rPh sb="5" eb="7">
      <t>ドウイツ</t>
    </rPh>
    <rPh sb="7" eb="9">
      <t>セイケイ</t>
    </rPh>
    <rPh sb="9" eb="12">
      <t>ハイグウシャ</t>
    </rPh>
    <rPh sb="13" eb="15">
      <t>フヨウ</t>
    </rPh>
    <rPh sb="15" eb="17">
      <t>シンゾク</t>
    </rPh>
    <rPh sb="23" eb="25">
      <t>トクベツ</t>
    </rPh>
    <rPh sb="25" eb="28">
      <t>ショウガイシャ</t>
    </rPh>
    <phoneticPr fontId="2"/>
  </si>
  <si>
    <t>Ｂ　23歳未満の扶養親族がいる</t>
    <rPh sb="4" eb="7">
      <t>サイミマン</t>
    </rPh>
    <rPh sb="8" eb="10">
      <t>フヨウ</t>
    </rPh>
    <rPh sb="10" eb="12">
      <t>シンゾク</t>
    </rPh>
    <phoneticPr fontId="2"/>
  </si>
  <si>
    <t>←Ａ、Ｂのいずれかまたは両方に該当する</t>
    <rPh sb="12" eb="14">
      <t>リョウホウ</t>
    </rPh>
    <rPh sb="15" eb="17">
      <t>ガイトウ</t>
    </rPh>
    <phoneticPr fontId="2"/>
  </si>
  <si>
    <t>③</t>
    <phoneticPr fontId="2"/>
  </si>
  <si>
    <t>④公的年金等収入</t>
    <rPh sb="1" eb="3">
      <t>コウテキ</t>
    </rPh>
    <rPh sb="3" eb="5">
      <t>ネンキン</t>
    </rPh>
    <rPh sb="5" eb="6">
      <t>トウ</t>
    </rPh>
    <rPh sb="6" eb="8">
      <t>シュウニュウ</t>
    </rPh>
    <phoneticPr fontId="2"/>
  </si>
  <si>
    <t>⑤その他所得（事業所得、不動産所得等）</t>
    <rPh sb="3" eb="4">
      <t>タ</t>
    </rPh>
    <rPh sb="4" eb="6">
      <t>ショトク</t>
    </rPh>
    <rPh sb="7" eb="9">
      <t>ジギョウ</t>
    </rPh>
    <rPh sb="9" eb="11">
      <t>ショトク</t>
    </rPh>
    <rPh sb="12" eb="15">
      <t>フドウサン</t>
    </rPh>
    <rPh sb="15" eb="17">
      <t>ショトク</t>
    </rPh>
    <rPh sb="17" eb="18">
      <t>トウ</t>
    </rPh>
    <phoneticPr fontId="2"/>
  </si>
  <si>
    <t>国保税年税額計算（概算）</t>
  </si>
  <si>
    <t>算定日</t>
  </si>
  <si>
    <t>氏名（続柄等）</t>
  </si>
  <si>
    <t>生年月日</t>
  </si>
  <si>
    <t>年</t>
  </si>
  <si>
    <t>加入する方の所得</t>
    <rPh sb="4" eb="5">
      <t>カタ</t>
    </rPh>
    <rPh sb="6" eb="8">
      <t>ショトク</t>
    </rPh>
    <phoneticPr fontId="8"/>
  </si>
  <si>
    <t>所　得</t>
  </si>
  <si>
    <t>基礎控除額</t>
    <rPh sb="0" eb="2">
      <t>キソ</t>
    </rPh>
    <rPh sb="2" eb="4">
      <t>コウジョ</t>
    </rPh>
    <rPh sb="4" eb="5">
      <t>ガク</t>
    </rPh>
    <phoneticPr fontId="10"/>
  </si>
  <si>
    <t>年齢区分</t>
    <rPh sb="0" eb="2">
      <t>ネンレイ</t>
    </rPh>
    <rPh sb="2" eb="4">
      <t>クブン</t>
    </rPh>
    <phoneticPr fontId="10"/>
  </si>
  <si>
    <t>世帯主が加入の場合のみ下段有効</t>
  </si>
  <si>
    <t>※専従者注意</t>
    <rPh sb="1" eb="4">
      <t>センジュウシャ</t>
    </rPh>
    <rPh sb="4" eb="6">
      <t>チュウイ</t>
    </rPh>
    <phoneticPr fontId="8"/>
  </si>
  <si>
    <t>2軽減</t>
    <phoneticPr fontId="8"/>
  </si>
  <si>
    <t>5軽減</t>
    <phoneticPr fontId="8"/>
  </si>
  <si>
    <t>7軽減</t>
    <phoneticPr fontId="8"/>
  </si>
  <si>
    <t>※軽減同時表示の場合、率の高い軽減を選択</t>
    <rPh sb="8" eb="10">
      <t>バアイ</t>
    </rPh>
    <rPh sb="11" eb="12">
      <t>リツ</t>
    </rPh>
    <rPh sb="13" eb="14">
      <t>タカ</t>
    </rPh>
    <rPh sb="15" eb="17">
      <t>ケイゲン</t>
    </rPh>
    <rPh sb="18" eb="20">
      <t>センタク</t>
    </rPh>
    <phoneticPr fontId="8"/>
  </si>
  <si>
    <t>合計</t>
  </si>
  <si>
    <t>擬主所得</t>
  </si>
  <si>
    <t>人</t>
    <rPh sb="0" eb="1">
      <t>ニン</t>
    </rPh>
    <phoneticPr fontId="10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</si>
  <si>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10"/>
  </si>
  <si>
    <t>医療分</t>
    <phoneticPr fontId="8"/>
  </si>
  <si>
    <t>総所得金額</t>
  </si>
  <si>
    <t>保険税基礎控除</t>
  </si>
  <si>
    <t>(所得)</t>
    <rPh sb="1" eb="3">
      <t>ショトク</t>
    </rPh>
    <phoneticPr fontId="8"/>
  </si>
  <si>
    <t>円－</t>
  </si>
  <si>
    <t>円×</t>
  </si>
  <si>
    <t>％＝</t>
  </si>
  <si>
    <t>円</t>
  </si>
  <si>
    <t>国保加入者数</t>
  </si>
  <si>
    <t>１人あたり金額</t>
  </si>
  <si>
    <t>(均等)</t>
    <rPh sb="1" eb="3">
      <t>キントウ</t>
    </rPh>
    <phoneticPr fontId="8"/>
  </si>
  <si>
    <t>人×</t>
  </si>
  <si>
    <t>円＝</t>
  </si>
  <si>
    <t>※軽減対象</t>
  </si>
  <si>
    <t>１世帯あたり</t>
  </si>
  <si>
    <t>(平等)</t>
    <rPh sb="1" eb="3">
      <t>ビョウドウ</t>
    </rPh>
    <phoneticPr fontId="8"/>
  </si>
  <si>
    <t>限度額</t>
  </si>
  <si>
    <t>改め</t>
  </si>
  <si>
    <t>支援分</t>
    <rPh sb="0" eb="2">
      <t>シエン</t>
    </rPh>
    <phoneticPr fontId="8"/>
  </si>
  <si>
    <t>円</t>
    <phoneticPr fontId="8"/>
  </si>
  <si>
    <t>介護分</t>
    <phoneticPr fontId="8"/>
  </si>
  <si>
    <t xml:space="preserve"> 40～64歳の方が加入している場合のみ</t>
    <rPh sb="6" eb="7">
      <t>サイ</t>
    </rPh>
    <rPh sb="8" eb="9">
      <t>カタ</t>
    </rPh>
    <rPh sb="10" eb="12">
      <t>カニュウ</t>
    </rPh>
    <rPh sb="16" eb="18">
      <t>バアイ</t>
    </rPh>
    <phoneticPr fontId="8"/>
  </si>
  <si>
    <t>軽減の場合の年額</t>
  </si>
  <si>
    <t>２割軽減が掛かる場合</t>
    <phoneticPr fontId="8"/>
  </si>
  <si>
    <t>５割軽減が掛かる場合</t>
    <phoneticPr fontId="8"/>
  </si>
  <si>
    <t>割軽減</t>
  </si>
  <si>
    <t>年額</t>
  </si>
  <si>
    <t>７割軽減が掛かる場合</t>
    <phoneticPr fontId="8"/>
  </si>
  <si>
    <t>100円以下切り捨て</t>
  </si>
  <si>
    <t>約</t>
  </si>
  <si>
    <t>ヵ月／12ヵ月＝</t>
    <phoneticPr fontId="8"/>
  </si>
  <si>
    <t>１ヵ月あたり</t>
  </si>
  <si>
    <t>　</t>
    <phoneticPr fontId="8"/>
  </si>
  <si>
    <t>1期</t>
    <rPh sb="1" eb="2">
      <t>キ</t>
    </rPh>
    <phoneticPr fontId="10"/>
  </si>
  <si>
    <t>2期</t>
    <rPh sb="1" eb="2">
      <t>キ</t>
    </rPh>
    <phoneticPr fontId="10"/>
  </si>
  <si>
    <t>※</t>
    <phoneticPr fontId="10"/>
  </si>
  <si>
    <t>期別納付額が実際の納付額と異なる場合があります。</t>
    <rPh sb="0" eb="1">
      <t>キ</t>
    </rPh>
    <rPh sb="1" eb="2">
      <t>ベツ</t>
    </rPh>
    <rPh sb="2" eb="4">
      <t>ノウフ</t>
    </rPh>
    <rPh sb="4" eb="5">
      <t>ガク</t>
    </rPh>
    <rPh sb="6" eb="8">
      <t>ジッサイ</t>
    </rPh>
    <rPh sb="9" eb="11">
      <t>ノウフ</t>
    </rPh>
    <rPh sb="11" eb="12">
      <t>ガク</t>
    </rPh>
    <rPh sb="13" eb="14">
      <t>コト</t>
    </rPh>
    <rPh sb="16" eb="18">
      <t>バアイ</t>
    </rPh>
    <phoneticPr fontId="10"/>
  </si>
  <si>
    <t>納付の期割</t>
  </si>
  <si>
    <t>回</t>
  </si>
  <si>
    <t>初回</t>
  </si>
  <si>
    <t>次回～</t>
  </si>
  <si>
    <t>×7回</t>
    <phoneticPr fontId="8"/>
  </si>
  <si>
    <t>4～6月届出</t>
    <phoneticPr fontId="8"/>
  </si>
  <si>
    <t>×3回</t>
    <phoneticPr fontId="8"/>
  </si>
  <si>
    <t>10月届出</t>
    <phoneticPr fontId="8"/>
  </si>
  <si>
    <t>×6回</t>
    <phoneticPr fontId="8"/>
  </si>
  <si>
    <t>7月届出</t>
    <phoneticPr fontId="8"/>
  </si>
  <si>
    <t>×2回</t>
    <phoneticPr fontId="8"/>
  </si>
  <si>
    <t>11月届出</t>
    <phoneticPr fontId="8"/>
  </si>
  <si>
    <t>×5回</t>
    <phoneticPr fontId="8"/>
  </si>
  <si>
    <t>8月届出</t>
    <phoneticPr fontId="8"/>
  </si>
  <si>
    <t>×1回</t>
    <phoneticPr fontId="8"/>
  </si>
  <si>
    <t>12月届出</t>
    <phoneticPr fontId="8"/>
  </si>
  <si>
    <t>×4回</t>
    <phoneticPr fontId="8"/>
  </si>
  <si>
    <t>9月届出</t>
    <phoneticPr fontId="8"/>
  </si>
  <si>
    <t>1月以降届出</t>
    <rPh sb="2" eb="4">
      <t>イコウ</t>
    </rPh>
    <phoneticPr fontId="8"/>
  </si>
  <si>
    <t>①氏名</t>
    <rPh sb="1" eb="3">
      <t>シメイ</t>
    </rPh>
    <phoneticPr fontId="2"/>
  </si>
  <si>
    <t>②生年月日</t>
    <rPh sb="1" eb="3">
      <t>セイネン</t>
    </rPh>
    <rPh sb="3" eb="5">
      <t>ガッピ</t>
    </rPh>
    <phoneticPr fontId="2"/>
  </si>
  <si>
    <t>③給与収入</t>
    <rPh sb="1" eb="3">
      <t>キュウヨ</t>
    </rPh>
    <rPh sb="3" eb="5">
      <t>シュウニュウ</t>
    </rPh>
    <phoneticPr fontId="2"/>
  </si>
  <si>
    <t>(例)昭和45年1月1日生まれの場合、1970/1/1と入力してください。</t>
    <rPh sb="1" eb="2">
      <t>レイ</t>
    </rPh>
    <rPh sb="3" eb="5">
      <t>ショウワ</t>
    </rPh>
    <rPh sb="7" eb="8">
      <t>ネン</t>
    </rPh>
    <rPh sb="9" eb="10">
      <t>ガツ</t>
    </rPh>
    <rPh sb="11" eb="12">
      <t>ニチ</t>
    </rPh>
    <rPh sb="12" eb="13">
      <t>ウ</t>
    </rPh>
    <rPh sb="16" eb="18">
      <t>バアイ</t>
    </rPh>
    <rPh sb="28" eb="30">
      <t>ニュウリョク</t>
    </rPh>
    <phoneticPr fontId="2"/>
  </si>
  <si>
    <t>加入者入力数</t>
    <rPh sb="0" eb="3">
      <t>カニュウシャ</t>
    </rPh>
    <rPh sb="3" eb="5">
      <t>ニュウリョク</t>
    </rPh>
    <rPh sb="5" eb="6">
      <t>スウ</t>
    </rPh>
    <phoneticPr fontId="2"/>
  </si>
  <si>
    <t xml:space="preserve">  （特別障害者とは身体障害者手帳一級または二級、精神障害者保健福祉手帳</t>
    <rPh sb="3" eb="5">
      <t>トクベツ</t>
    </rPh>
    <rPh sb="5" eb="8">
      <t>ショウガイシャ</t>
    </rPh>
    <rPh sb="10" eb="12">
      <t>シンタイ</t>
    </rPh>
    <rPh sb="12" eb="14">
      <t>ショウガイ</t>
    </rPh>
    <rPh sb="14" eb="15">
      <t>シャ</t>
    </rPh>
    <rPh sb="15" eb="17">
      <t>テチョウ</t>
    </rPh>
    <rPh sb="17" eb="19">
      <t>イッキュウ</t>
    </rPh>
    <rPh sb="22" eb="24">
      <t>ニキュウ</t>
    </rPh>
    <phoneticPr fontId="2"/>
  </si>
  <si>
    <t>給与所得者等確認</t>
    <rPh sb="0" eb="2">
      <t>キュウヨ</t>
    </rPh>
    <rPh sb="2" eb="4">
      <t>ショトク</t>
    </rPh>
    <rPh sb="4" eb="5">
      <t>シャ</t>
    </rPh>
    <rPh sb="5" eb="6">
      <t>トウ</t>
    </rPh>
    <rPh sb="6" eb="8">
      <t>カクニン</t>
    </rPh>
    <phoneticPr fontId="2"/>
  </si>
  <si>
    <t>給与所得者等該当</t>
    <rPh sb="0" eb="2">
      <t>キュウヨ</t>
    </rPh>
    <rPh sb="2" eb="4">
      <t>ショトク</t>
    </rPh>
    <rPh sb="4" eb="5">
      <t>シャ</t>
    </rPh>
    <rPh sb="5" eb="6">
      <t>トウ</t>
    </rPh>
    <rPh sb="6" eb="8">
      <t>ガイトウ</t>
    </rPh>
    <phoneticPr fontId="2"/>
  </si>
  <si>
    <t>〇均等割・平等割の軽減について</t>
    <rPh sb="1" eb="4">
      <t>キントウワ</t>
    </rPh>
    <rPh sb="5" eb="7">
      <t>ビョウドウ</t>
    </rPh>
    <rPh sb="7" eb="8">
      <t>ワリ</t>
    </rPh>
    <rPh sb="9" eb="11">
      <t>ケイゲン</t>
    </rPh>
    <phoneticPr fontId="2"/>
  </si>
  <si>
    <t>該当なし</t>
    <rPh sb="0" eb="2">
      <t>ガイトウ</t>
    </rPh>
    <phoneticPr fontId="2"/>
  </si>
  <si>
    <t>2割軽減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</si>
  <si>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</si>
  <si>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7割軽減</t>
    <rPh sb="1" eb="2">
      <t>ワリ</t>
    </rPh>
    <rPh sb="2" eb="4">
      <t>ケイゲン</t>
    </rPh>
    <phoneticPr fontId="2"/>
  </si>
  <si>
    <r>
      <t>うち</t>
    </r>
    <r>
      <rPr>
        <b/>
        <sz val="8"/>
        <rFont val="HG丸ｺﾞｼｯｸM-PRO"/>
        <family val="3"/>
        <charset val="128"/>
      </rPr>
      <t>40</t>
    </r>
    <r>
      <rPr>
        <sz val="8"/>
        <rFont val="HG丸ｺﾞｼｯｸM-PRO"/>
        <family val="3"/>
        <charset val="128"/>
      </rPr>
      <t>才以下と</t>
    </r>
    <r>
      <rPr>
        <b/>
        <sz val="8"/>
        <rFont val="HG丸ｺﾞｼｯｸM-PRO"/>
        <family val="3"/>
        <charset val="128"/>
      </rPr>
      <t>65</t>
    </r>
    <r>
      <rPr>
        <sz val="8"/>
        <rFont val="HG丸ｺﾞｼｯｸM-PRO"/>
        <family val="3"/>
        <charset val="128"/>
      </rPr>
      <t>才以上の所得</t>
    </r>
    <rPh sb="4" eb="5">
      <t>サイ</t>
    </rPh>
    <rPh sb="5" eb="7">
      <t>イカ</t>
    </rPh>
    <rPh sb="10" eb="11">
      <t>サイ</t>
    </rPh>
    <rPh sb="11" eb="12">
      <t>イガイ</t>
    </rPh>
    <rPh sb="12" eb="13">
      <t>ウエ</t>
    </rPh>
    <rPh sb="14" eb="16">
      <t>ショトク</t>
    </rPh>
    <phoneticPr fontId="8"/>
  </si>
  <si>
    <t>75歳未満月</t>
    <rPh sb="2" eb="3">
      <t>サイ</t>
    </rPh>
    <rPh sb="3" eb="5">
      <t>ミマン</t>
    </rPh>
    <rPh sb="5" eb="6">
      <t>ツキ</t>
    </rPh>
    <phoneticPr fontId="2"/>
  </si>
  <si>
    <t>円</t>
    <rPh sb="0" eb="1">
      <t>エン</t>
    </rPh>
    <phoneticPr fontId="2"/>
  </si>
  <si>
    <t>医療所得割</t>
    <rPh sb="0" eb="2">
      <t>イリョウ</t>
    </rPh>
    <rPh sb="2" eb="4">
      <t>ショトク</t>
    </rPh>
    <rPh sb="4" eb="5">
      <t>ワリ</t>
    </rPh>
    <phoneticPr fontId="2"/>
  </si>
  <si>
    <t>支援所得割</t>
    <rPh sb="0" eb="2">
      <t>シエン</t>
    </rPh>
    <phoneticPr fontId="2"/>
  </si>
  <si>
    <t>介護所得割</t>
    <rPh sb="0" eb="2">
      <t>カイゴ</t>
    </rPh>
    <phoneticPr fontId="2"/>
  </si>
  <si>
    <t>←判定</t>
    <rPh sb="1" eb="3">
      <t>ハンテイ</t>
    </rPh>
    <phoneticPr fontId="2"/>
  </si>
  <si>
    <t>40-64歳月</t>
    <rPh sb="5" eb="6">
      <t>サイ</t>
    </rPh>
    <rPh sb="6" eb="7">
      <t>ツキ</t>
    </rPh>
    <phoneticPr fontId="2"/>
  </si>
  <si>
    <t>医療均等割</t>
    <rPh sb="0" eb="2">
      <t>イリョウ</t>
    </rPh>
    <rPh sb="2" eb="4">
      <t>キントウ</t>
    </rPh>
    <rPh sb="4" eb="5">
      <t>ワリ</t>
    </rPh>
    <phoneticPr fontId="2"/>
  </si>
  <si>
    <t>支援均等割</t>
    <rPh sb="0" eb="2">
      <t>シエン</t>
    </rPh>
    <rPh sb="2" eb="4">
      <t>キントウ</t>
    </rPh>
    <phoneticPr fontId="2"/>
  </si>
  <si>
    <t>介護均等割</t>
    <rPh sb="0" eb="2">
      <t>カイゴ</t>
    </rPh>
    <rPh sb="2" eb="4">
      <t>キントウ</t>
    </rPh>
    <phoneticPr fontId="2"/>
  </si>
  <si>
    <t>〇何月に加入される予定ですか？</t>
    <rPh sb="1" eb="3">
      <t>ナンガツ</t>
    </rPh>
    <rPh sb="4" eb="6">
      <t>カニュウ</t>
    </rPh>
    <rPh sb="9" eb="11">
      <t>ヨテイ</t>
    </rPh>
    <phoneticPr fontId="2"/>
  </si>
  <si>
    <t>⇒</t>
    <phoneticPr fontId="2"/>
  </si>
  <si>
    <t>月加入予定</t>
    <rPh sb="0" eb="1">
      <t>ツキ</t>
    </rPh>
    <rPh sb="1" eb="3">
      <t>カニュウ</t>
    </rPh>
    <rPh sb="3" eb="5">
      <t>ヨテイ</t>
    </rPh>
    <phoneticPr fontId="2"/>
  </si>
  <si>
    <t>75歳未満人数</t>
    <rPh sb="2" eb="5">
      <t>サイミマン</t>
    </rPh>
    <rPh sb="5" eb="7">
      <t>ニンズウ</t>
    </rPh>
    <phoneticPr fontId="2"/>
  </si>
  <si>
    <t>40-64歳人数</t>
    <rPh sb="5" eb="6">
      <t>サイ</t>
    </rPh>
    <rPh sb="6" eb="8">
      <t>ニンズウ</t>
    </rPh>
    <phoneticPr fontId="2"/>
  </si>
  <si>
    <t>75歳未満フラグ</t>
    <rPh sb="2" eb="5">
      <t>サイミマン</t>
    </rPh>
    <phoneticPr fontId="2"/>
  </si>
  <si>
    <t>40-64歳フラグ</t>
    <rPh sb="5" eb="6">
      <t>サイ</t>
    </rPh>
    <phoneticPr fontId="2"/>
  </si>
  <si>
    <t>年金特別控除（軽減用）</t>
    <rPh sb="0" eb="2">
      <t>ネンキン</t>
    </rPh>
    <rPh sb="2" eb="4">
      <t>トクベツ</t>
    </rPh>
    <rPh sb="4" eb="6">
      <t>コウジョ</t>
    </rPh>
    <rPh sb="7" eb="9">
      <t>ケイゲン</t>
    </rPh>
    <rPh sb="9" eb="10">
      <t>ヨウ</t>
    </rPh>
    <phoneticPr fontId="2"/>
  </si>
  <si>
    <t>公的年金特別控除額</t>
    <rPh sb="0" eb="2">
      <t>コウテキ</t>
    </rPh>
    <rPh sb="2" eb="4">
      <t>ネンキン</t>
    </rPh>
    <rPh sb="4" eb="6">
      <t>トクベツ</t>
    </rPh>
    <rPh sb="6" eb="8">
      <t>コウジョ</t>
    </rPh>
    <rPh sb="8" eb="9">
      <t>ガク</t>
    </rPh>
    <phoneticPr fontId="2"/>
  </si>
  <si>
    <t>賦課基準日</t>
    <rPh sb="0" eb="2">
      <t>フカ</t>
    </rPh>
    <rPh sb="2" eb="5">
      <t>キジュンビ</t>
    </rPh>
    <phoneticPr fontId="2"/>
  </si>
  <si>
    <t>加入される方</t>
    <rPh sb="5" eb="6">
      <t>カタ</t>
    </rPh>
    <phoneticPr fontId="2"/>
  </si>
  <si>
    <t>その内今年度介護分該当の方</t>
    <rPh sb="3" eb="6">
      <t>コンネンド</t>
    </rPh>
    <rPh sb="6" eb="8">
      <t>カイゴ</t>
    </rPh>
    <rPh sb="8" eb="9">
      <t>ブン</t>
    </rPh>
    <rPh sb="9" eb="11">
      <t>ガイトウ</t>
    </rPh>
    <rPh sb="12" eb="13">
      <t>カタ</t>
    </rPh>
    <phoneticPr fontId="2"/>
  </si>
  <si>
    <t>均等割基準額</t>
    <rPh sb="0" eb="3">
      <t>キントウワ</t>
    </rPh>
    <rPh sb="3" eb="5">
      <t>キジュン</t>
    </rPh>
    <rPh sb="5" eb="6">
      <t>ガク</t>
    </rPh>
    <phoneticPr fontId="2"/>
  </si>
  <si>
    <t>世帯割基準額</t>
    <rPh sb="0" eb="2">
      <t>セタイ</t>
    </rPh>
    <rPh sb="2" eb="3">
      <t>ワリ</t>
    </rPh>
    <rPh sb="3" eb="5">
      <t>キジュン</t>
    </rPh>
    <rPh sb="5" eb="6">
      <t>ガク</t>
    </rPh>
    <phoneticPr fontId="2"/>
  </si>
  <si>
    <t>所得割率</t>
    <rPh sb="0" eb="2">
      <t>ショトク</t>
    </rPh>
    <rPh sb="2" eb="3">
      <t>ワリ</t>
    </rPh>
    <rPh sb="3" eb="4">
      <t>リツ</t>
    </rPh>
    <phoneticPr fontId="2"/>
  </si>
  <si>
    <r>
      <t>※↓</t>
    </r>
    <r>
      <rPr>
        <sz val="11"/>
        <color rgb="FFFF0000"/>
        <rFont val="HG丸ｺﾞｼｯｸM-PRO"/>
        <family val="3"/>
        <charset val="128"/>
      </rPr>
      <t>非自発的失業者</t>
    </r>
    <r>
      <rPr>
        <sz val="11"/>
        <color theme="1"/>
        <rFont val="HG丸ｺﾞｼｯｸM-PRO"/>
        <family val="3"/>
        <charset val="128"/>
      </rPr>
      <t>に該当の場合〇を選んでください。</t>
    </r>
    <rPh sb="2" eb="6">
      <t>ヒジハツテキ</t>
    </rPh>
    <rPh sb="6" eb="9">
      <t>シツギョウシャ</t>
    </rPh>
    <rPh sb="10" eb="12">
      <t>ガイトウ</t>
    </rPh>
    <rPh sb="13" eb="15">
      <t>バアイ</t>
    </rPh>
    <rPh sb="17" eb="18">
      <t>エラ</t>
    </rPh>
    <phoneticPr fontId="2"/>
  </si>
  <si>
    <t>非自発的失業者の該当条件については必ず</t>
    <rPh sb="0" eb="3">
      <t>ヒジハツ</t>
    </rPh>
    <rPh sb="3" eb="4">
      <t>テキ</t>
    </rPh>
    <rPh sb="4" eb="7">
      <t>シツギョウシャ</t>
    </rPh>
    <rPh sb="8" eb="12">
      <t>ガイトウジョウケン</t>
    </rPh>
    <rPh sb="17" eb="18">
      <t>カナラ</t>
    </rPh>
    <phoneticPr fontId="2"/>
  </si>
  <si>
    <t>「保険税試算シート入力方法について」をご確認ください。</t>
    <rPh sb="1" eb="4">
      <t>ホケンゼイ</t>
    </rPh>
    <rPh sb="4" eb="6">
      <t>シサン</t>
    </rPh>
    <phoneticPr fontId="2"/>
  </si>
  <si>
    <t>〇</t>
    <phoneticPr fontId="2"/>
  </si>
  <si>
    <t>18歳以下</t>
    <rPh sb="2" eb="5">
      <t>サイイカ</t>
    </rPh>
    <phoneticPr fontId="2"/>
  </si>
  <si>
    <t>R6.1.1時点年齢</t>
    <rPh sb="6" eb="8">
      <t>ジテン</t>
    </rPh>
    <rPh sb="8" eb="10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</si>
</sst>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&quot;円&quot;"/>
    <numFmt numFmtId="177" formatCode="[$-411]ggge&quot;年&quot;m&quot;月&quot;d&quot;日&quot;;@"/>
    <numFmt numFmtId="178" formatCode="#,##0&quot;歳&quot;"/>
    <numFmt numFmtId="179" formatCode="0;\-0;;@"/>
    <numFmt numFmtId="180" formatCode="yyyy&quot;年&quot;m&quot;月&quot;;@"/>
    <numFmt numFmtId="181" formatCode="_ * #,##0_ ;_ * \-#,##0_ ;_ * &quot;-&quot;??_ ;_ @_ 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indexed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8"/>
      <color indexed="10"/>
      <name val="HG丸ｺﾞｼｯｸM-PRO"/>
      <family val="3"/>
      <charset val="128"/>
    </font>
    <font>
      <sz val="10"/>
      <color indexed="22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215">
    <xf numFmtId="0" fontId="0" fillId="0" borderId="0" xfId="0"/>
    <xf numFmtId="0" fontId="3" fillId="0" borderId="0" xfId="0" applyFont="1"/>
    <xf numFmtId="178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/>
    <xf numFmtId="176" fontId="3" fillId="0" borderId="1" xfId="0" applyNumberFormat="1" applyFont="1" applyBorder="1"/>
    <xf numFmtId="177" fontId="3" fillId="0" borderId="0" xfId="0" applyNumberFormat="1" applyFont="1" applyBorder="1"/>
    <xf numFmtId="176" fontId="3" fillId="0" borderId="0" xfId="0" applyNumberFormat="1" applyFont="1" applyBorder="1"/>
    <xf numFmtId="176" fontId="3" fillId="0" borderId="0" xfId="1" applyNumberFormat="1" applyFont="1" applyBorder="1" applyAlignment="1"/>
    <xf numFmtId="0" fontId="5" fillId="0" borderId="0" xfId="0" applyFont="1"/>
    <xf numFmtId="0" fontId="3" fillId="0" borderId="1" xfId="0" applyFont="1" applyBorder="1"/>
    <xf numFmtId="38" fontId="3" fillId="0" borderId="1" xfId="1" applyFont="1" applyBorder="1" applyAlignment="1"/>
    <xf numFmtId="176" fontId="3" fillId="0" borderId="1" xfId="1" applyNumberFormat="1" applyFont="1" applyBorder="1" applyAlignment="1"/>
    <xf numFmtId="176" fontId="3" fillId="0" borderId="0" xfId="0" applyNumberFormat="1" applyFont="1"/>
    <xf numFmtId="176" fontId="6" fillId="0" borderId="1" xfId="0" applyNumberFormat="1" applyFont="1" applyBorder="1"/>
    <xf numFmtId="0" fontId="3" fillId="0" borderId="2" xfId="0" applyFont="1" applyFill="1" applyBorder="1"/>
    <xf numFmtId="176" fontId="6" fillId="0" borderId="1" xfId="1" applyNumberFormat="1" applyFont="1" applyBorder="1" applyAlignment="1"/>
    <xf numFmtId="176" fontId="6" fillId="0" borderId="3" xfId="0" applyNumberFormat="1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5" xfId="0" applyFont="1" applyBorder="1"/>
    <xf numFmtId="176" fontId="3" fillId="0" borderId="0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2" borderId="1" xfId="0" applyNumberFormat="1" applyFont="1" applyFill="1" applyBorder="1" applyProtection="1">
      <protection locked="0"/>
    </xf>
    <xf numFmtId="176" fontId="3" fillId="2" borderId="1" xfId="1" applyNumberFormat="1" applyFont="1" applyFill="1" applyBorder="1" applyAlignment="1" applyProtection="1">
      <protection locked="0"/>
    </xf>
    <xf numFmtId="176" fontId="3" fillId="2" borderId="1" xfId="1" applyNumberFormat="1" applyFont="1" applyFill="1" applyBorder="1" applyAlignment="1" applyProtection="1">
      <alignment horizontal="center"/>
      <protection locked="0"/>
    </xf>
    <xf numFmtId="0" fontId="4" fillId="2" borderId="36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/>
    </xf>
    <xf numFmtId="41" fontId="15" fillId="0" borderId="0" xfId="2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41" fontId="4" fillId="0" borderId="1" xfId="0" applyNumberFormat="1" applyFont="1" applyBorder="1" applyAlignment="1" applyProtection="1">
      <alignment vertical="center" shrinkToFit="1"/>
    </xf>
    <xf numFmtId="0" fontId="12" fillId="0" borderId="5" xfId="0" applyFont="1" applyFill="1" applyBorder="1" applyAlignment="1" applyProtection="1">
      <alignment horizontal="center" vertical="center"/>
    </xf>
    <xf numFmtId="41" fontId="17" fillId="0" borderId="1" xfId="2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vertical="center"/>
    </xf>
    <xf numFmtId="41" fontId="20" fillId="0" borderId="0" xfId="2" applyNumberFormat="1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41" fontId="4" fillId="0" borderId="37" xfId="0" applyNumberFormat="1" applyFont="1" applyBorder="1" applyAlignment="1" applyProtection="1">
      <alignment vertical="center" shrinkToFit="1"/>
    </xf>
    <xf numFmtId="41" fontId="21" fillId="0" borderId="0" xfId="2" applyNumberFormat="1" applyFont="1" applyFill="1" applyBorder="1" applyAlignment="1" applyProtection="1">
      <alignment vertical="center"/>
    </xf>
    <xf numFmtId="41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quotePrefix="1" applyFont="1" applyFill="1" applyAlignment="1" applyProtection="1">
      <alignment vertical="center"/>
    </xf>
    <xf numFmtId="41" fontId="17" fillId="0" borderId="3" xfId="2" applyNumberFormat="1" applyFont="1" applyFill="1" applyBorder="1" applyAlignment="1" applyProtection="1">
      <alignment horizontal="center" vertical="center"/>
    </xf>
    <xf numFmtId="41" fontId="4" fillId="0" borderId="0" xfId="2" applyNumberFormat="1" applyFont="1" applyFill="1" applyBorder="1" applyAlignment="1" applyProtection="1">
      <alignment vertical="center"/>
    </xf>
    <xf numFmtId="41" fontId="4" fillId="0" borderId="0" xfId="2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38" fontId="17" fillId="0" borderId="0" xfId="2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vertical="center"/>
    </xf>
    <xf numFmtId="41" fontId="17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41" fontId="17" fillId="0" borderId="0" xfId="0" applyNumberFormat="1" applyFont="1" applyFill="1" applyBorder="1" applyAlignment="1" applyProtection="1">
      <alignment horizontal="left" vertical="center"/>
    </xf>
    <xf numFmtId="38" fontId="23" fillId="0" borderId="0" xfId="2" applyFont="1" applyBorder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horizontal="center" vertical="center" shrinkToFit="1"/>
    </xf>
    <xf numFmtId="180" fontId="4" fillId="0" borderId="0" xfId="0" applyNumberFormat="1" applyFont="1" applyFill="1" applyAlignment="1" applyProtection="1">
      <alignment vertical="center"/>
    </xf>
    <xf numFmtId="57" fontId="4" fillId="0" borderId="0" xfId="0" applyNumberFormat="1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right" vertical="center"/>
    </xf>
    <xf numFmtId="41" fontId="17" fillId="0" borderId="1" xfId="0" applyNumberFormat="1" applyFont="1" applyFill="1" applyBorder="1" applyAlignment="1" applyProtection="1">
      <alignment horizontal="center" vertical="center" shrinkToFit="1"/>
    </xf>
    <xf numFmtId="41" fontId="11" fillId="0" borderId="0" xfId="2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 applyProtection="1">
      <alignment horizontal="right" vertical="center"/>
    </xf>
    <xf numFmtId="41" fontId="17" fillId="0" borderId="8" xfId="0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2" fillId="0" borderId="1" xfId="0" applyFont="1" applyFill="1" applyBorder="1" applyAlignment="1" applyProtection="1">
      <alignment horizontal="center"/>
    </xf>
    <xf numFmtId="0" fontId="12" fillId="0" borderId="7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25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vertical="center"/>
    </xf>
    <xf numFmtId="0" fontId="28" fillId="0" borderId="1" xfId="0" applyFont="1" applyBorder="1" applyAlignment="1" applyProtection="1">
      <alignment horizontal="center" vertical="center" shrinkToFit="1"/>
    </xf>
    <xf numFmtId="41" fontId="28" fillId="0" borderId="1" xfId="0" applyNumberFormat="1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/>
    </xf>
    <xf numFmtId="176" fontId="6" fillId="2" borderId="1" xfId="0" applyNumberFormat="1" applyFont="1" applyFill="1" applyBorder="1" applyAlignment="1">
      <alignment horizontal="center"/>
    </xf>
    <xf numFmtId="41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</xf>
    <xf numFmtId="41" fontId="17" fillId="0" borderId="15" xfId="2" applyNumberFormat="1" applyFont="1" applyFill="1" applyBorder="1" applyAlignment="1" applyProtection="1">
      <alignment horizontal="center" vertical="center" shrinkToFit="1"/>
    </xf>
    <xf numFmtId="41" fontId="17" fillId="0" borderId="16" xfId="2" applyNumberFormat="1" applyFont="1" applyFill="1" applyBorder="1" applyAlignment="1" applyProtection="1">
      <alignment horizontal="center" vertical="center" shrinkToFit="1"/>
    </xf>
    <xf numFmtId="41" fontId="17" fillId="0" borderId="17" xfId="2" applyNumberFormat="1" applyFont="1" applyFill="1" applyBorder="1" applyAlignment="1" applyProtection="1">
      <alignment horizontal="center" vertical="center" shrinkToFit="1"/>
    </xf>
    <xf numFmtId="58" fontId="4" fillId="0" borderId="6" xfId="0" applyNumberFormat="1" applyFont="1" applyFill="1" applyBorder="1" applyAlignment="1" applyProtection="1">
      <alignment horizontal="center" vertical="center"/>
    </xf>
    <xf numFmtId="58" fontId="4" fillId="0" borderId="7" xfId="0" applyNumberFormat="1" applyFont="1" applyFill="1" applyBorder="1" applyAlignment="1" applyProtection="1">
      <alignment horizontal="center" vertical="center"/>
    </xf>
    <xf numFmtId="58" fontId="4" fillId="0" borderId="5" xfId="0" applyNumberFormat="1" applyFont="1" applyFill="1" applyBorder="1" applyAlignment="1" applyProtection="1">
      <alignment horizontal="center" vertical="center"/>
    </xf>
    <xf numFmtId="58" fontId="4" fillId="0" borderId="0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right" vertical="center"/>
    </xf>
    <xf numFmtId="0" fontId="17" fillId="0" borderId="11" xfId="0" applyFont="1" applyFill="1" applyBorder="1" applyAlignment="1" applyProtection="1">
      <alignment horizontal="right" vertical="center"/>
    </xf>
    <xf numFmtId="41" fontId="27" fillId="0" borderId="9" xfId="2" applyNumberFormat="1" applyFont="1" applyFill="1" applyBorder="1" applyAlignment="1" applyProtection="1">
      <alignment horizontal="center" vertical="center" shrinkToFit="1"/>
    </xf>
    <xf numFmtId="41" fontId="27" fillId="0" borderId="10" xfId="2" applyNumberFormat="1" applyFont="1" applyFill="1" applyBorder="1" applyAlignment="1" applyProtection="1">
      <alignment horizontal="center" vertical="center" shrinkToFit="1"/>
    </xf>
    <xf numFmtId="41" fontId="27" fillId="0" borderId="11" xfId="2" applyNumberFormat="1" applyFont="1" applyFill="1" applyBorder="1" applyAlignment="1" applyProtection="1">
      <alignment horizontal="center" vertical="center" shrinkToFit="1"/>
    </xf>
    <xf numFmtId="41" fontId="17" fillId="0" borderId="15" xfId="2" applyNumberFormat="1" applyFont="1" applyFill="1" applyBorder="1" applyAlignment="1" applyProtection="1">
      <alignment vertical="center" shrinkToFit="1"/>
    </xf>
    <xf numFmtId="41" fontId="17" fillId="0" borderId="16" xfId="2" applyNumberFormat="1" applyFont="1" applyFill="1" applyBorder="1" applyAlignment="1" applyProtection="1">
      <alignment vertical="center" shrinkToFit="1"/>
    </xf>
    <xf numFmtId="41" fontId="17" fillId="0" borderId="17" xfId="2" applyNumberFormat="1" applyFont="1" applyFill="1" applyBorder="1" applyAlignment="1" applyProtection="1">
      <alignment vertical="center" shrinkToFit="1"/>
    </xf>
    <xf numFmtId="179" fontId="12" fillId="2" borderId="6" xfId="3" applyNumberFormat="1" applyFont="1" applyFill="1" applyBorder="1" applyAlignment="1" applyProtection="1">
      <alignment horizontal="center" vertical="center"/>
    </xf>
    <xf numFmtId="179" fontId="12" fillId="2" borderId="7" xfId="3" applyNumberFormat="1" applyFont="1" applyFill="1" applyBorder="1" applyAlignment="1" applyProtection="1">
      <alignment horizontal="center" vertical="center"/>
    </xf>
    <xf numFmtId="57" fontId="4" fillId="2" borderId="6" xfId="0" applyNumberFormat="1" applyFont="1" applyFill="1" applyBorder="1" applyAlignment="1" applyProtection="1">
      <alignment horizontal="center" vertical="center" shrinkToFit="1"/>
    </xf>
    <xf numFmtId="57" fontId="4" fillId="2" borderId="7" xfId="0" applyNumberFormat="1" applyFont="1" applyFill="1" applyBorder="1" applyAlignment="1" applyProtection="1">
      <alignment horizontal="center" vertical="center" shrinkToFit="1"/>
    </xf>
    <xf numFmtId="57" fontId="4" fillId="2" borderId="5" xfId="0" applyNumberFormat="1" applyFont="1" applyFill="1" applyBorder="1" applyAlignment="1" applyProtection="1">
      <alignment horizontal="center" vertical="center" shrinkToFit="1"/>
    </xf>
    <xf numFmtId="41" fontId="27" fillId="2" borderId="6" xfId="2" applyNumberFormat="1" applyFont="1" applyFill="1" applyBorder="1" applyAlignment="1" applyProtection="1">
      <alignment horizontal="center" vertical="center" shrinkToFit="1"/>
    </xf>
    <xf numFmtId="41" fontId="27" fillId="2" borderId="7" xfId="2" applyNumberFormat="1" applyFont="1" applyFill="1" applyBorder="1" applyAlignment="1" applyProtection="1">
      <alignment horizontal="center" vertical="center" shrinkToFit="1"/>
    </xf>
    <xf numFmtId="41" fontId="27" fillId="2" borderId="5" xfId="2" applyNumberFormat="1" applyFont="1" applyFill="1" applyBorder="1" applyAlignment="1" applyProtection="1">
      <alignment horizontal="center" vertical="center" shrinkToFit="1"/>
    </xf>
    <xf numFmtId="41" fontId="27" fillId="0" borderId="15" xfId="2" applyNumberFormat="1" applyFont="1" applyFill="1" applyBorder="1" applyAlignment="1" applyProtection="1">
      <alignment horizontal="center" vertical="center" shrinkToFit="1"/>
    </xf>
    <xf numFmtId="41" fontId="27" fillId="0" borderId="16" xfId="2" applyNumberFormat="1" applyFont="1" applyFill="1" applyBorder="1" applyAlignment="1" applyProtection="1">
      <alignment horizontal="center" vertical="center" shrinkToFit="1"/>
    </xf>
    <xf numFmtId="41" fontId="27" fillId="0" borderId="18" xfId="2" applyNumberFormat="1" applyFont="1" applyFill="1" applyBorder="1" applyAlignment="1" applyProtection="1">
      <alignment horizontal="center" vertical="center" shrinkToFit="1"/>
    </xf>
    <xf numFmtId="41" fontId="17" fillId="0" borderId="6" xfId="0" applyNumberFormat="1" applyFont="1" applyFill="1" applyBorder="1" applyAlignment="1" applyProtection="1">
      <alignment horizontal="center" vertical="center"/>
    </xf>
    <xf numFmtId="41" fontId="17" fillId="0" borderId="5" xfId="0" applyNumberFormat="1" applyFont="1" applyFill="1" applyBorder="1" applyAlignment="1" applyProtection="1">
      <alignment horizontal="center" vertical="center"/>
    </xf>
    <xf numFmtId="41" fontId="17" fillId="0" borderId="15" xfId="2" applyNumberFormat="1" applyFont="1" applyFill="1" applyBorder="1" applyAlignment="1" applyProtection="1">
      <alignment vertical="center"/>
    </xf>
    <xf numFmtId="41" fontId="17" fillId="0" borderId="16" xfId="2" applyNumberFormat="1" applyFont="1" applyFill="1" applyBorder="1" applyAlignment="1" applyProtection="1">
      <alignment vertical="center"/>
    </xf>
    <xf numFmtId="41" fontId="17" fillId="0" borderId="17" xfId="2" applyNumberFormat="1" applyFont="1" applyFill="1" applyBorder="1" applyAlignment="1" applyProtection="1">
      <alignment vertical="center"/>
    </xf>
    <xf numFmtId="41" fontId="17" fillId="0" borderId="20" xfId="2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41" fontId="17" fillId="0" borderId="20" xfId="0" applyNumberFormat="1" applyFont="1" applyFill="1" applyBorder="1" applyAlignment="1" applyProtection="1">
      <alignment horizontal="center" vertical="center" shrinkToFit="1"/>
    </xf>
    <xf numFmtId="41" fontId="24" fillId="0" borderId="20" xfId="2" applyNumberFormat="1" applyFont="1" applyFill="1" applyBorder="1" applyAlignment="1" applyProtection="1">
      <alignment horizontal="center" vertical="center" shrinkToFit="1"/>
    </xf>
    <xf numFmtId="181" fontId="17" fillId="0" borderId="20" xfId="0" applyNumberFormat="1" applyFont="1" applyFill="1" applyBorder="1" applyAlignment="1" applyProtection="1">
      <alignment horizontal="center" vertical="center" shrinkToFit="1"/>
    </xf>
    <xf numFmtId="0" fontId="11" fillId="3" borderId="0" xfId="0" applyFont="1" applyFill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 shrinkToFit="1"/>
    </xf>
    <xf numFmtId="41" fontId="17" fillId="0" borderId="6" xfId="0" applyNumberFormat="1" applyFont="1" applyFill="1" applyBorder="1" applyAlignment="1" applyProtection="1">
      <alignment horizontal="center" vertical="center" shrinkToFit="1"/>
    </xf>
    <xf numFmtId="41" fontId="17" fillId="0" borderId="7" xfId="0" applyNumberFormat="1" applyFont="1" applyFill="1" applyBorder="1" applyAlignment="1" applyProtection="1">
      <alignment horizontal="center" vertical="center" shrinkToFit="1"/>
    </xf>
    <xf numFmtId="41" fontId="17" fillId="0" borderId="5" xfId="0" applyNumberFormat="1" applyFont="1" applyFill="1" applyBorder="1" applyAlignment="1" applyProtection="1">
      <alignment horizontal="center" vertical="center" shrinkToFit="1"/>
    </xf>
    <xf numFmtId="41" fontId="26" fillId="0" borderId="0" xfId="2" applyNumberFormat="1" applyFont="1" applyFill="1" applyAlignment="1" applyProtection="1">
      <alignment horizontal="center" vertical="center" shrinkToFit="1"/>
    </xf>
    <xf numFmtId="41" fontId="17" fillId="0" borderId="6" xfId="2" applyNumberFormat="1" applyFont="1" applyFill="1" applyBorder="1" applyAlignment="1" applyProtection="1">
      <alignment horizontal="center" vertical="center" shrinkToFit="1"/>
    </xf>
    <xf numFmtId="41" fontId="17" fillId="0" borderId="7" xfId="2" applyNumberFormat="1" applyFont="1" applyFill="1" applyBorder="1" applyAlignment="1" applyProtection="1">
      <alignment horizontal="center" vertical="center" shrinkToFit="1"/>
    </xf>
    <xf numFmtId="41" fontId="17" fillId="0" borderId="5" xfId="2" applyNumberFormat="1" applyFont="1" applyFill="1" applyBorder="1" applyAlignment="1" applyProtection="1">
      <alignment horizontal="center" vertical="center" shrinkToFit="1"/>
    </xf>
    <xf numFmtId="41" fontId="17" fillId="0" borderId="21" xfId="2" applyNumberFormat="1" applyFont="1" applyFill="1" applyBorder="1" applyAlignment="1" applyProtection="1">
      <alignment horizontal="center" vertical="center" shrinkToFit="1"/>
    </xf>
    <xf numFmtId="41" fontId="17" fillId="0" borderId="22" xfId="2" applyNumberFormat="1" applyFont="1" applyFill="1" applyBorder="1" applyAlignment="1" applyProtection="1">
      <alignment horizontal="center" vertical="center" shrinkToFit="1"/>
    </xf>
    <xf numFmtId="41" fontId="17" fillId="0" borderId="23" xfId="2" applyNumberFormat="1" applyFont="1" applyFill="1" applyBorder="1" applyAlignment="1" applyProtection="1">
      <alignment horizontal="center" vertical="center" shrinkToFit="1"/>
    </xf>
    <xf numFmtId="41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41" fontId="17" fillId="0" borderId="0" xfId="0" applyNumberFormat="1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38" fontId="13" fillId="0" borderId="6" xfId="2" applyFont="1" applyFill="1" applyBorder="1" applyAlignment="1" applyProtection="1"/>
    <xf numFmtId="38" fontId="13" fillId="0" borderId="7" xfId="2" applyFont="1" applyFill="1" applyBorder="1" applyAlignment="1" applyProtection="1"/>
    <xf numFmtId="38" fontId="13" fillId="0" borderId="25" xfId="2" applyFont="1" applyFill="1" applyBorder="1" applyAlignment="1" applyProtection="1"/>
    <xf numFmtId="38" fontId="13" fillId="0" borderId="24" xfId="2" applyFont="1" applyFill="1" applyBorder="1" applyAlignment="1" applyProtection="1"/>
    <xf numFmtId="38" fontId="13" fillId="0" borderId="28" xfId="2" applyFont="1" applyFill="1" applyBorder="1" applyAlignment="1" applyProtection="1">
      <alignment horizontal="right"/>
    </xf>
    <xf numFmtId="38" fontId="13" fillId="0" borderId="29" xfId="2" applyFont="1" applyFill="1" applyBorder="1" applyAlignment="1" applyProtection="1">
      <alignment horizontal="right"/>
    </xf>
    <xf numFmtId="41" fontId="4" fillId="4" borderId="0" xfId="2" applyNumberFormat="1" applyFont="1" applyFill="1" applyBorder="1" applyAlignment="1" applyProtection="1">
      <alignment horizontal="center" vertical="center" shrinkToFit="1"/>
    </xf>
    <xf numFmtId="41" fontId="17" fillId="4" borderId="0" xfId="2" applyNumberFormat="1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38" fontId="13" fillId="2" borderId="6" xfId="2" applyFont="1" applyFill="1" applyBorder="1" applyAlignment="1" applyProtection="1">
      <alignment horizontal="right"/>
      <protection locked="0"/>
    </xf>
    <xf numFmtId="38" fontId="13" fillId="2" borderId="7" xfId="2" applyFont="1" applyFill="1" applyBorder="1" applyAlignment="1" applyProtection="1">
      <alignment horizontal="right"/>
      <protection locked="0"/>
    </xf>
    <xf numFmtId="38" fontId="13" fillId="2" borderId="5" xfId="2" applyFont="1" applyFill="1" applyBorder="1" applyAlignment="1" applyProtection="1">
      <alignment horizontal="right"/>
      <protection locked="0"/>
    </xf>
    <xf numFmtId="0" fontId="12" fillId="0" borderId="8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  <xf numFmtId="0" fontId="13" fillId="0" borderId="6" xfId="0" applyFont="1" applyFill="1" applyBorder="1" applyAlignment="1" applyProtection="1">
      <alignment horizontal="center"/>
    </xf>
    <xf numFmtId="0" fontId="13" fillId="0" borderId="24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26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</xf>
    <xf numFmtId="0" fontId="13" fillId="0" borderId="27" xfId="0" applyFont="1" applyFill="1" applyBorder="1" applyAlignment="1" applyProtection="1">
      <alignment horizontal="center"/>
    </xf>
    <xf numFmtId="41" fontId="11" fillId="0" borderId="0" xfId="2" applyNumberFormat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horizontal="center" vertical="center" shrinkToFit="1"/>
    </xf>
    <xf numFmtId="41" fontId="17" fillId="0" borderId="15" xfId="0" applyNumberFormat="1" applyFont="1" applyFill="1" applyBorder="1" applyAlignment="1" applyProtection="1">
      <alignment horizontal="center" vertical="center" shrinkToFit="1"/>
    </xf>
    <xf numFmtId="0" fontId="17" fillId="0" borderId="16" xfId="0" applyFont="1" applyFill="1" applyBorder="1" applyAlignment="1" applyProtection="1">
      <alignment horizontal="center" vertical="center" shrinkToFit="1"/>
    </xf>
    <xf numFmtId="0" fontId="17" fillId="0" borderId="17" xfId="0" applyFont="1" applyFill="1" applyBorder="1" applyAlignment="1" applyProtection="1">
      <alignment horizontal="center" vertical="center" shrinkToFit="1"/>
    </xf>
    <xf numFmtId="41" fontId="4" fillId="0" borderId="6" xfId="0" applyNumberFormat="1" applyFont="1" applyFill="1" applyBorder="1" applyAlignment="1" applyProtection="1">
      <alignment horizontal="center" vertical="center" shrinkToFit="1"/>
    </xf>
    <xf numFmtId="41" fontId="4" fillId="0" borderId="7" xfId="0" applyNumberFormat="1" applyFont="1" applyFill="1" applyBorder="1" applyAlignment="1" applyProtection="1">
      <alignment horizontal="center" vertical="center" shrinkToFit="1"/>
    </xf>
    <xf numFmtId="41" fontId="4" fillId="0" borderId="5" xfId="0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4</xdr:row>
      <xdr:rowOff>9525</xdr:rowOff>
    </xdr:from>
    <xdr:to>
      <xdr:col>29</xdr:col>
      <xdr:colOff>381000</xdr:colOff>
      <xdr:row>14</xdr:row>
      <xdr:rowOff>28575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57725" y="523875"/>
          <a:ext cx="2628900" cy="14668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123825</xdr:colOff>
      <xdr:row>65</xdr:row>
      <xdr:rowOff>19049</xdr:rowOff>
    </xdr:from>
    <xdr:ext cx="2228850" cy="468590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61950" y="7677149"/>
          <a:ext cx="2228850" cy="46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未申告の場合は軽減対象とはなりません！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また、修正などで所得金額が増えると軽減対象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から、除外されることがあります。</a:t>
          </a:r>
        </a:p>
      </xdr:txBody>
    </xdr:sp>
    <xdr:clientData/>
  </xdr:oneCellAnchor>
  <xdr:oneCellAnchor>
    <xdr:from>
      <xdr:col>21</xdr:col>
      <xdr:colOff>19050</xdr:colOff>
      <xdr:row>2</xdr:row>
      <xdr:rowOff>0</xdr:rowOff>
    </xdr:from>
    <xdr:ext cx="2269211" cy="318549"/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19675" y="209550"/>
          <a:ext cx="226921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世帯主が加入しない場合は根拠の欄に世帯主の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所得は入力しないこと。</a:t>
          </a:r>
        </a:p>
      </xdr:txBody>
    </xdr:sp>
    <xdr:clientData/>
  </xdr:oneCellAnchor>
  <xdr:twoCellAnchor>
    <xdr:from>
      <xdr:col>24</xdr:col>
      <xdr:colOff>219075</xdr:colOff>
      <xdr:row>17</xdr:row>
      <xdr:rowOff>28574</xdr:rowOff>
    </xdr:from>
    <xdr:to>
      <xdr:col>29</xdr:col>
      <xdr:colOff>285750</xdr:colOff>
      <xdr:row>19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34075" y="2314574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  <xdr:twoCellAnchor>
    <xdr:from>
      <xdr:col>25</xdr:col>
      <xdr:colOff>0</xdr:colOff>
      <xdr:row>34</xdr:row>
      <xdr:rowOff>57150</xdr:rowOff>
    </xdr:from>
    <xdr:to>
      <xdr:col>29</xdr:col>
      <xdr:colOff>304800</xdr:colOff>
      <xdr:row>36</xdr:row>
      <xdr:rowOff>114301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53125" y="4248150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  <xdr:twoCellAnchor>
    <xdr:from>
      <xdr:col>25</xdr:col>
      <xdr:colOff>28575</xdr:colOff>
      <xdr:row>51</xdr:row>
      <xdr:rowOff>57150</xdr:rowOff>
    </xdr:from>
    <xdr:to>
      <xdr:col>29</xdr:col>
      <xdr:colOff>333375</xdr:colOff>
      <xdr:row>53</xdr:row>
      <xdr:rowOff>114301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981700" y="6153150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X94"/>
  <sheetViews>
    <sheetView showGridLines="0" tabSelected="1" view="pageBreakPreview" zoomScaleNormal="100" zoomScaleSheetLayoutView="100" workbookViewId="0">
      <selection activeCell="L75" sqref="L75"/>
    </sheetView>
  </sheetViews>
  <sheetFormatPr defaultColWidth="3.125" defaultRowHeight="12" x14ac:dyDescent="0.4"/>
  <cols>
    <col min="1" max="29" width="3.125" style="28" customWidth="1"/>
    <col min="30" max="30" width="5.875" style="28" customWidth="1"/>
    <col min="31" max="31" width="7.5" style="28" hidden="1" customWidth="1"/>
    <col min="32" max="32" width="18.5" style="28" hidden="1" customWidth="1"/>
    <col min="33" max="36" width="3.125" style="28" hidden="1" customWidth="1"/>
    <col min="37" max="37" width="9.25" style="28" hidden="1" customWidth="1"/>
    <col min="38" max="40" width="3.125" style="28" hidden="1" customWidth="1"/>
    <col min="41" max="41" width="12.25" style="28" hidden="1" customWidth="1"/>
    <col min="42" max="44" width="3.125" style="28" hidden="1" customWidth="1"/>
    <col min="45" max="45" width="4.125" style="28" hidden="1" customWidth="1"/>
    <col min="46" max="48" width="3.125" style="28" hidden="1" customWidth="1"/>
    <col min="49" max="49" width="12" style="28" hidden="1" customWidth="1"/>
    <col min="50" max="67" width="8.625" style="28" hidden="1" customWidth="1"/>
    <col min="68" max="68" width="8.75" style="28" hidden="1" customWidth="1"/>
    <col min="69" max="76" width="8.625" style="28" hidden="1" customWidth="1"/>
    <col min="77" max="16384" width="3.125" style="28"/>
  </cols>
  <sheetData>
    <row r="1" spans="1:76" ht="12" customHeight="1" x14ac:dyDescent="0.4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 t="s">
        <v>52</v>
      </c>
      <c r="V1" s="27"/>
      <c r="W1" s="113">
        <f ca="1">TODAY()</f>
        <v>45350</v>
      </c>
      <c r="X1" s="114"/>
      <c r="Y1" s="114"/>
      <c r="Z1" s="114"/>
      <c r="AA1" s="114"/>
      <c r="AB1" s="115"/>
      <c r="AC1" s="27"/>
      <c r="AD1" s="116"/>
      <c r="AE1" s="116"/>
      <c r="AF1" s="116"/>
      <c r="AG1" s="116"/>
      <c r="AH1" s="116"/>
      <c r="AI1" s="116"/>
      <c r="AJ1" s="27"/>
      <c r="AK1" s="27"/>
    </row>
    <row r="2" spans="1:76" ht="4.5" customHeight="1" x14ac:dyDescent="0.4">
      <c r="A2" s="27"/>
      <c r="B2" s="27"/>
      <c r="C2" s="27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76" ht="12" customHeight="1" x14ac:dyDescent="0.4">
      <c r="A3" s="117" t="s">
        <v>53</v>
      </c>
      <c r="B3" s="118"/>
      <c r="C3" s="118"/>
      <c r="D3" s="118"/>
      <c r="E3" s="119"/>
      <c r="F3" s="117" t="s">
        <v>54</v>
      </c>
      <c r="G3" s="118"/>
      <c r="H3" s="118"/>
      <c r="I3" s="118"/>
      <c r="J3" s="123" t="s">
        <v>55</v>
      </c>
      <c r="K3" s="125" t="s">
        <v>56</v>
      </c>
      <c r="L3" s="126"/>
      <c r="M3" s="126"/>
      <c r="N3" s="126"/>
      <c r="O3" s="127"/>
      <c r="P3" s="30"/>
      <c r="Q3" s="30"/>
      <c r="R3" s="30"/>
      <c r="S3" s="30"/>
      <c r="T3" s="30"/>
      <c r="U3" s="30"/>
      <c r="V3" s="30"/>
      <c r="W3" s="30"/>
      <c r="X3" s="27"/>
      <c r="Y3" s="31"/>
      <c r="Z3" s="32"/>
      <c r="AA3" s="32"/>
      <c r="AB3" s="32"/>
      <c r="AC3" s="32"/>
      <c r="AD3" s="32"/>
      <c r="AE3" s="32"/>
      <c r="AF3" s="27"/>
      <c r="AG3" s="27"/>
      <c r="AH3" s="27"/>
      <c r="AI3" s="27"/>
      <c r="AJ3" s="27"/>
      <c r="AK3" s="27"/>
      <c r="AS3" s="33">
        <v>0</v>
      </c>
      <c r="AT3" s="33" t="s">
        <v>135</v>
      </c>
      <c r="AU3" s="33"/>
      <c r="AV3" s="33">
        <v>0</v>
      </c>
      <c r="AW3" s="34">
        <v>1</v>
      </c>
      <c r="AX3" s="35">
        <v>45412</v>
      </c>
      <c r="AY3" s="35">
        <v>45443</v>
      </c>
      <c r="AZ3" s="35">
        <v>45473</v>
      </c>
      <c r="BA3" s="35">
        <v>45504</v>
      </c>
      <c r="BB3" s="35">
        <v>45535</v>
      </c>
      <c r="BC3" s="35">
        <v>45565</v>
      </c>
      <c r="BD3" s="35">
        <v>45596</v>
      </c>
      <c r="BE3" s="35">
        <v>45626</v>
      </c>
      <c r="BF3" s="35">
        <v>45657</v>
      </c>
      <c r="BG3" s="35">
        <v>45688</v>
      </c>
      <c r="BH3" s="35">
        <v>45716</v>
      </c>
      <c r="BI3" s="35">
        <v>45747</v>
      </c>
      <c r="BJ3" s="36" t="s">
        <v>140</v>
      </c>
      <c r="BK3" s="36" t="s">
        <v>146</v>
      </c>
      <c r="BL3" s="37" t="s">
        <v>142</v>
      </c>
      <c r="BM3" s="37" t="s">
        <v>145</v>
      </c>
      <c r="BN3" s="37" t="s">
        <v>143</v>
      </c>
      <c r="BO3" s="37" t="s">
        <v>145</v>
      </c>
      <c r="BP3" s="37" t="s">
        <v>144</v>
      </c>
      <c r="BQ3" s="37" t="s">
        <v>145</v>
      </c>
      <c r="BR3" s="37" t="s">
        <v>147</v>
      </c>
      <c r="BS3" s="103" t="s">
        <v>145</v>
      </c>
      <c r="BT3" s="37" t="s">
        <v>148</v>
      </c>
      <c r="BU3" s="103" t="s">
        <v>145</v>
      </c>
      <c r="BV3" s="37" t="s">
        <v>149</v>
      </c>
      <c r="BW3" s="37" t="s">
        <v>145</v>
      </c>
      <c r="BX3" s="33" t="s">
        <v>169</v>
      </c>
    </row>
    <row r="4" spans="1:76" ht="12" customHeight="1" x14ac:dyDescent="0.4">
      <c r="A4" s="120"/>
      <c r="B4" s="121"/>
      <c r="C4" s="121"/>
      <c r="D4" s="121"/>
      <c r="E4" s="122"/>
      <c r="F4" s="120"/>
      <c r="G4" s="121"/>
      <c r="H4" s="121"/>
      <c r="I4" s="121"/>
      <c r="J4" s="124"/>
      <c r="K4" s="128" t="s">
        <v>57</v>
      </c>
      <c r="L4" s="128"/>
      <c r="M4" s="128"/>
      <c r="N4" s="129"/>
      <c r="O4" s="38">
        <v>40</v>
      </c>
      <c r="P4" s="39"/>
      <c r="Q4" s="39"/>
      <c r="R4" s="39"/>
      <c r="S4" s="39"/>
      <c r="T4" s="39"/>
      <c r="U4" s="39"/>
      <c r="V4" s="32"/>
      <c r="W4" s="32"/>
      <c r="X4" s="32"/>
      <c r="Y4" s="32"/>
      <c r="Z4" s="32"/>
      <c r="AA4" s="32"/>
      <c r="AB4" s="27"/>
      <c r="AC4" s="27"/>
      <c r="AD4" s="27"/>
      <c r="AE4" s="27"/>
      <c r="AF4" s="27" t="s">
        <v>58</v>
      </c>
      <c r="AG4" s="27"/>
      <c r="AH4" s="28" t="s">
        <v>59</v>
      </c>
      <c r="AL4" s="28" t="s">
        <v>130</v>
      </c>
      <c r="AS4" s="33">
        <v>1</v>
      </c>
      <c r="AT4" s="33" t="s">
        <v>136</v>
      </c>
      <c r="AU4" s="33"/>
      <c r="AV4" s="33">
        <v>2</v>
      </c>
      <c r="AW4" s="34">
        <v>0.8</v>
      </c>
      <c r="AX4" s="40" t="str">
        <f>IF($F$5&gt;0,DATEDIF($F$5,AX3,"Y")," ")</f>
        <v xml:space="preserve"> </v>
      </c>
      <c r="AY4" s="40" t="str">
        <f t="shared" ref="AY4:BI4" si="0">IF($F$5&gt;0,DATEDIF($F$5,AY3,"Y")," ")</f>
        <v xml:space="preserve"> </v>
      </c>
      <c r="AZ4" s="40" t="str">
        <f t="shared" si="0"/>
        <v xml:space="preserve"> </v>
      </c>
      <c r="BA4" s="40" t="str">
        <f t="shared" si="0"/>
        <v xml:space="preserve"> </v>
      </c>
      <c r="BB4" s="40" t="str">
        <f t="shared" si="0"/>
        <v xml:space="preserve"> </v>
      </c>
      <c r="BC4" s="40" t="str">
        <f t="shared" si="0"/>
        <v xml:space="preserve"> </v>
      </c>
      <c r="BD4" s="40" t="str">
        <f t="shared" si="0"/>
        <v xml:space="preserve"> </v>
      </c>
      <c r="BE4" s="40" t="str">
        <f t="shared" si="0"/>
        <v xml:space="preserve"> </v>
      </c>
      <c r="BF4" s="40" t="str">
        <f t="shared" si="0"/>
        <v xml:space="preserve"> </v>
      </c>
      <c r="BG4" s="40" t="str">
        <f t="shared" si="0"/>
        <v xml:space="preserve"> </v>
      </c>
      <c r="BH4" s="40" t="str">
        <f t="shared" si="0"/>
        <v xml:space="preserve"> </v>
      </c>
      <c r="BI4" s="40" t="str">
        <f t="shared" si="0"/>
        <v xml:space="preserve"> </v>
      </c>
      <c r="BJ4" s="33">
        <f>COUNTIF(AX4:BI4,"&lt;75")</f>
        <v>0</v>
      </c>
      <c r="BK4" s="33">
        <f>COUNTIFS(AX4:BI4,"&gt;39",AX4:BI4,"&lt;65")</f>
        <v>0</v>
      </c>
      <c r="BL4" s="41">
        <f>ROUNDDOWN(IF(K5&lt;=AF5,0,(K5-AF5)*($O$21/100)),0)*(12-BJ4)/12</f>
        <v>0</v>
      </c>
      <c r="BM4" s="41">
        <f t="shared" ref="BM4:BM9" si="1">IF(BJ4=0,0,BL4)</f>
        <v>0</v>
      </c>
      <c r="BN4" s="41">
        <f t="shared" ref="BN4:BN9" si="2">ROUNDDOWN(IF(K5&lt;=AF5,0,(K5-AF5)*($O$38/100)),0)*(12-BJ4)/12</f>
        <v>0</v>
      </c>
      <c r="BO4" s="41">
        <f t="shared" ref="BO4:BO9" si="3">IF(BJ4=0,0,BN4)</f>
        <v>0</v>
      </c>
      <c r="BP4" s="41">
        <f t="shared" ref="BP4:BP9" si="4">ROUNDDOWN(IF(K5&lt;=AF5,0,(K5-AF5)*($O$55/100)),0)*(12-BK4)/12</f>
        <v>0</v>
      </c>
      <c r="BQ4" s="41">
        <f t="shared" ref="BQ4:BQ9" si="5">IF(BK4=0,0,BP4)</f>
        <v>0</v>
      </c>
      <c r="BR4" s="41">
        <f>ROUNDDOWN($BR$10*VLOOKUP($M$70,$AV$3:$AW$6,2,TRUE)*(12-BJ4)/12,0)</f>
        <v>6810</v>
      </c>
      <c r="BS4" s="104">
        <f>IF(BJ4=0,0,BR4)</f>
        <v>0</v>
      </c>
      <c r="BT4" s="41">
        <f>ROUNDDOWN($BT$10*VLOOKUP($M$70,$AV$3:$AW$6,2,TRUE)*(12-BJ4)/12,0)</f>
        <v>2190</v>
      </c>
      <c r="BU4" s="104">
        <f>IF(BJ4=0,0,BT4)</f>
        <v>0</v>
      </c>
      <c r="BV4" s="41">
        <f>ROUNDDOWN($BV$10*VLOOKUP($M$70,$AV$3:$AW$6,2,TRUE)*(12-BK4)/12,0)</f>
        <v>2850</v>
      </c>
      <c r="BW4" s="41">
        <f>IF(BK4=0,0,BV4)</f>
        <v>0</v>
      </c>
      <c r="BX4" s="105">
        <f t="shared" ref="BX4:BX9" si="6">IF(AJ20&lt;19,1,0)</f>
        <v>0</v>
      </c>
    </row>
    <row r="5" spans="1:76" ht="12" customHeight="1" x14ac:dyDescent="0.4">
      <c r="A5" s="138">
        <f>'加入者（1人目）'!B3</f>
        <v>0</v>
      </c>
      <c r="B5" s="139"/>
      <c r="C5" s="139"/>
      <c r="D5" s="139"/>
      <c r="E5" s="42" t="str">
        <f t="shared" ref="E5:E10" si="7">IF(A5&gt;0,"様","　")</f>
        <v>　</v>
      </c>
      <c r="F5" s="140">
        <f>'加入者（1人目）'!B6</f>
        <v>0</v>
      </c>
      <c r="G5" s="141"/>
      <c r="H5" s="141"/>
      <c r="I5" s="142"/>
      <c r="J5" s="40" t="str">
        <f>IF(F5&gt;0,DATEDIF(F5,$W$1,"Y")," ")</f>
        <v xml:space="preserve"> </v>
      </c>
      <c r="K5" s="143">
        <f>'加入者（1人目）'!D37</f>
        <v>0</v>
      </c>
      <c r="L5" s="144"/>
      <c r="M5" s="144"/>
      <c r="N5" s="145"/>
      <c r="O5" s="43">
        <f>IF(AND(AJ20&lt;=64,39&lt;=AJ20),1,0)</f>
        <v>0</v>
      </c>
      <c r="P5" s="27"/>
      <c r="Q5" s="27"/>
      <c r="R5" s="27"/>
      <c r="S5" s="27"/>
      <c r="T5" s="27"/>
      <c r="U5" s="27"/>
      <c r="V5" s="44" t="s">
        <v>60</v>
      </c>
      <c r="W5" s="45"/>
      <c r="X5" s="45"/>
      <c r="Y5" s="45"/>
      <c r="Z5" s="45"/>
      <c r="AA5" s="45"/>
      <c r="AB5" s="27"/>
      <c r="AC5" s="27"/>
      <c r="AD5" s="27"/>
      <c r="AE5" s="27"/>
      <c r="AF5" s="46">
        <f>IF(K5&gt;430000,430000,K5)</f>
        <v>0</v>
      </c>
      <c r="AG5" s="27"/>
      <c r="AH5" s="28">
        <f>IF(AND(J5&lt;=64,40&lt;=J5),1,0)</f>
        <v>0</v>
      </c>
      <c r="AL5" s="28">
        <f>IF('加入者（1人目）'!B6=0,0,1)</f>
        <v>0</v>
      </c>
      <c r="AS5" s="33">
        <v>2</v>
      </c>
      <c r="AT5" s="33" t="s">
        <v>137</v>
      </c>
      <c r="AU5" s="33"/>
      <c r="AV5" s="33">
        <v>5</v>
      </c>
      <c r="AW5" s="34">
        <v>0.5</v>
      </c>
      <c r="AX5" s="40" t="str">
        <f>IF($F$6&gt;0,DATEDIF($F$6,AX3,"Y")," ")</f>
        <v xml:space="preserve"> </v>
      </c>
      <c r="AY5" s="40" t="str">
        <f t="shared" ref="AY5:BI5" si="8">IF($F$6&gt;0,DATEDIF($F$6,AY3,"Y")," ")</f>
        <v xml:space="preserve"> </v>
      </c>
      <c r="AZ5" s="40" t="str">
        <f t="shared" si="8"/>
        <v xml:space="preserve"> </v>
      </c>
      <c r="BA5" s="40" t="str">
        <f t="shared" si="8"/>
        <v xml:space="preserve"> </v>
      </c>
      <c r="BB5" s="40" t="str">
        <f t="shared" si="8"/>
        <v xml:space="preserve"> </v>
      </c>
      <c r="BC5" s="40" t="str">
        <f t="shared" si="8"/>
        <v xml:space="preserve"> </v>
      </c>
      <c r="BD5" s="40" t="str">
        <f t="shared" si="8"/>
        <v xml:space="preserve"> </v>
      </c>
      <c r="BE5" s="40" t="str">
        <f t="shared" si="8"/>
        <v xml:space="preserve"> </v>
      </c>
      <c r="BF5" s="40" t="str">
        <f t="shared" si="8"/>
        <v xml:space="preserve"> </v>
      </c>
      <c r="BG5" s="40" t="str">
        <f t="shared" si="8"/>
        <v xml:space="preserve"> </v>
      </c>
      <c r="BH5" s="40" t="str">
        <f t="shared" si="8"/>
        <v xml:space="preserve"> </v>
      </c>
      <c r="BI5" s="40" t="str">
        <f t="shared" si="8"/>
        <v xml:space="preserve"> </v>
      </c>
      <c r="BJ5" s="33">
        <f t="shared" ref="BJ5:BJ9" si="9">COUNTIF(AX5:BI5,"&lt;75")</f>
        <v>0</v>
      </c>
      <c r="BK5" s="33">
        <f>COUNTIFS(AX5:BI5,"&gt;39",AX5:BI5,"&lt;65")</f>
        <v>0</v>
      </c>
      <c r="BL5" s="41">
        <f t="shared" ref="BL5:BL9" si="10">ROUNDDOWN(IF(K6&lt;=AF6,0,(K6-AF6)*($O$21/100)),0)*(12-BJ5)/12</f>
        <v>0</v>
      </c>
      <c r="BM5" s="41">
        <f t="shared" si="1"/>
        <v>0</v>
      </c>
      <c r="BN5" s="41">
        <f t="shared" si="2"/>
        <v>0</v>
      </c>
      <c r="BO5" s="41">
        <f t="shared" si="3"/>
        <v>0</v>
      </c>
      <c r="BP5" s="41">
        <f t="shared" si="4"/>
        <v>0</v>
      </c>
      <c r="BQ5" s="41">
        <f t="shared" si="5"/>
        <v>0</v>
      </c>
      <c r="BR5" s="41">
        <f t="shared" ref="BR5:BR9" si="11">ROUNDDOWN($BR$10*VLOOKUP($M$70,$AV$3:$AW$6,2,TRUE)*(12-BJ5)/12,0)</f>
        <v>6810</v>
      </c>
      <c r="BS5" s="104">
        <f t="shared" ref="BS5:BS9" si="12">IF(BJ5=0,0,BR5)</f>
        <v>0</v>
      </c>
      <c r="BT5" s="41">
        <f t="shared" ref="BT5:BT8" si="13">ROUNDDOWN($BT$10*VLOOKUP($M$70,$AV$3:$AW$6,2,TRUE)*(12-BJ5)/12,0)</f>
        <v>2190</v>
      </c>
      <c r="BU5" s="104">
        <f t="shared" ref="BU5:BU9" si="14">IF(BJ5=0,0,BT5)</f>
        <v>0</v>
      </c>
      <c r="BV5" s="41">
        <f t="shared" ref="BV5:BV9" si="15">ROUNDDOWN($BV$10*VLOOKUP($M$70,$AV$3:$AW$6,2,TRUE)*(12-BK5)/12,0)</f>
        <v>2850</v>
      </c>
      <c r="BW5" s="41">
        <f t="shared" ref="BW5:BW9" si="16">IF(BK5=0,0,BV5)</f>
        <v>0</v>
      </c>
      <c r="BX5" s="105">
        <f t="shared" si="6"/>
        <v>0</v>
      </c>
    </row>
    <row r="6" spans="1:76" ht="12" customHeight="1" x14ac:dyDescent="0.4">
      <c r="A6" s="138">
        <f>'加入者（2人目）'!B3</f>
        <v>0</v>
      </c>
      <c r="B6" s="139"/>
      <c r="C6" s="139"/>
      <c r="D6" s="139"/>
      <c r="E6" s="42" t="str">
        <f t="shared" si="7"/>
        <v>　</v>
      </c>
      <c r="F6" s="140">
        <f>'加入者（2人目）'!B6</f>
        <v>0</v>
      </c>
      <c r="G6" s="141"/>
      <c r="H6" s="141"/>
      <c r="I6" s="142"/>
      <c r="J6" s="40" t="str">
        <f>IF(F6&gt;0,DATEDIF(F6,$W$1,"Y")," ")</f>
        <v xml:space="preserve"> </v>
      </c>
      <c r="K6" s="143">
        <f>'加入者（2人目）'!D37</f>
        <v>0</v>
      </c>
      <c r="L6" s="144"/>
      <c r="M6" s="144"/>
      <c r="N6" s="145"/>
      <c r="O6" s="43">
        <f t="shared" ref="O6:O10" si="17">IF(AND(AJ21&lt;=64,39&lt;=AJ21),1,0)</f>
        <v>0</v>
      </c>
      <c r="P6" s="27"/>
      <c r="Q6" s="27"/>
      <c r="R6" s="27"/>
      <c r="S6" s="27"/>
      <c r="T6" s="27"/>
      <c r="U6" s="27"/>
      <c r="V6" s="27"/>
      <c r="W6" s="47" t="s">
        <v>61</v>
      </c>
      <c r="X6" s="45"/>
      <c r="Y6" s="45"/>
      <c r="Z6" s="45"/>
      <c r="AA6" s="45"/>
      <c r="AB6" s="27"/>
      <c r="AC6" s="27"/>
      <c r="AD6" s="27"/>
      <c r="AE6" s="27"/>
      <c r="AF6" s="46">
        <f t="shared" ref="AF6:AF7" si="18">IF(K6&gt;430000,430000,K6)</f>
        <v>0</v>
      </c>
      <c r="AG6" s="27"/>
      <c r="AH6" s="28">
        <f t="shared" ref="AH6:AH10" si="19">IF(AND(J6&lt;=64,40&lt;=J6),1,0)</f>
        <v>0</v>
      </c>
      <c r="AL6" s="28">
        <f>IF('加入者（2人目）'!B6=0,0,1)</f>
        <v>0</v>
      </c>
      <c r="AS6" s="33">
        <v>3</v>
      </c>
      <c r="AT6" s="33" t="s">
        <v>138</v>
      </c>
      <c r="AU6" s="33"/>
      <c r="AV6" s="33">
        <v>7</v>
      </c>
      <c r="AW6" s="34">
        <v>0.3</v>
      </c>
      <c r="AX6" s="40" t="str">
        <f>IF($F$7&gt;0,DATEDIF($F$7,AX3,"Y")," ")</f>
        <v xml:space="preserve"> </v>
      </c>
      <c r="AY6" s="40" t="str">
        <f t="shared" ref="AY6:BI6" si="20">IF($F$7&gt;0,DATEDIF($F$7,AY3,"Y")," ")</f>
        <v xml:space="preserve"> </v>
      </c>
      <c r="AZ6" s="40" t="str">
        <f t="shared" si="20"/>
        <v xml:space="preserve"> </v>
      </c>
      <c r="BA6" s="40" t="str">
        <f t="shared" si="20"/>
        <v xml:space="preserve"> </v>
      </c>
      <c r="BB6" s="40" t="str">
        <f t="shared" si="20"/>
        <v xml:space="preserve"> </v>
      </c>
      <c r="BC6" s="40" t="str">
        <f t="shared" si="20"/>
        <v xml:space="preserve"> </v>
      </c>
      <c r="BD6" s="40" t="str">
        <f t="shared" si="20"/>
        <v xml:space="preserve"> </v>
      </c>
      <c r="BE6" s="40" t="str">
        <f t="shared" si="20"/>
        <v xml:space="preserve"> </v>
      </c>
      <c r="BF6" s="40" t="str">
        <f t="shared" si="20"/>
        <v xml:space="preserve"> </v>
      </c>
      <c r="BG6" s="40" t="str">
        <f t="shared" si="20"/>
        <v xml:space="preserve"> </v>
      </c>
      <c r="BH6" s="40" t="str">
        <f t="shared" si="20"/>
        <v xml:space="preserve"> </v>
      </c>
      <c r="BI6" s="40" t="str">
        <f t="shared" si="20"/>
        <v xml:space="preserve"> </v>
      </c>
      <c r="BJ6" s="33">
        <f t="shared" si="9"/>
        <v>0</v>
      </c>
      <c r="BK6" s="33">
        <f t="shared" ref="BK6:BK9" si="21">COUNTIFS(AX6:BI6,"&gt;39",AX6:BI6,"&lt;65")</f>
        <v>0</v>
      </c>
      <c r="BL6" s="41">
        <f t="shared" si="10"/>
        <v>0</v>
      </c>
      <c r="BM6" s="41">
        <f t="shared" si="1"/>
        <v>0</v>
      </c>
      <c r="BN6" s="41">
        <f t="shared" si="2"/>
        <v>0</v>
      </c>
      <c r="BO6" s="41">
        <f t="shared" si="3"/>
        <v>0</v>
      </c>
      <c r="BP6" s="41">
        <f t="shared" si="4"/>
        <v>0</v>
      </c>
      <c r="BQ6" s="41">
        <f t="shared" si="5"/>
        <v>0</v>
      </c>
      <c r="BR6" s="41">
        <f>ROUNDDOWN($BR$10*VLOOKUP($M$70,$AV$3:$AW$6,2,TRUE)*(12-BJ6)/12,0)</f>
        <v>6810</v>
      </c>
      <c r="BS6" s="104">
        <f t="shared" si="12"/>
        <v>0</v>
      </c>
      <c r="BT6" s="41">
        <f t="shared" si="13"/>
        <v>2190</v>
      </c>
      <c r="BU6" s="104">
        <f t="shared" si="14"/>
        <v>0</v>
      </c>
      <c r="BV6" s="41">
        <f t="shared" si="15"/>
        <v>2850</v>
      </c>
      <c r="BW6" s="41">
        <f t="shared" si="16"/>
        <v>0</v>
      </c>
      <c r="BX6" s="105">
        <f t="shared" si="6"/>
        <v>0</v>
      </c>
    </row>
    <row r="7" spans="1:76" ht="12" customHeight="1" thickBot="1" x14ac:dyDescent="0.45">
      <c r="A7" s="138">
        <f>'加入者（3人目）'!B3</f>
        <v>0</v>
      </c>
      <c r="B7" s="139"/>
      <c r="C7" s="139"/>
      <c r="D7" s="139"/>
      <c r="E7" s="42" t="str">
        <f t="shared" si="7"/>
        <v>　</v>
      </c>
      <c r="F7" s="140">
        <f>'加入者（3人目）'!B6</f>
        <v>0</v>
      </c>
      <c r="G7" s="141"/>
      <c r="H7" s="141"/>
      <c r="I7" s="142"/>
      <c r="J7" s="40" t="str">
        <f>IF(F7&gt;0,DATEDIF(F7,$W$1,"Y")," ")</f>
        <v xml:space="preserve"> </v>
      </c>
      <c r="K7" s="143">
        <f>'加入者（3人目）'!D37</f>
        <v>0</v>
      </c>
      <c r="L7" s="144"/>
      <c r="M7" s="144"/>
      <c r="N7" s="145"/>
      <c r="O7" s="43">
        <f t="shared" si="17"/>
        <v>0</v>
      </c>
      <c r="P7" s="45"/>
      <c r="Q7" s="45"/>
      <c r="R7" s="45"/>
      <c r="S7" s="45"/>
      <c r="T7" s="45"/>
      <c r="U7" s="45"/>
      <c r="V7" s="27" t="s">
        <v>134</v>
      </c>
      <c r="W7" s="27"/>
      <c r="X7" s="48"/>
      <c r="Y7" s="48"/>
      <c r="Z7" s="49"/>
      <c r="AA7" s="49"/>
      <c r="AB7" s="49"/>
      <c r="AC7" s="49"/>
      <c r="AD7" s="27"/>
      <c r="AE7" s="27"/>
      <c r="AF7" s="46">
        <f t="shared" si="18"/>
        <v>0</v>
      </c>
      <c r="AG7" s="27"/>
      <c r="AH7" s="28">
        <f t="shared" si="19"/>
        <v>0</v>
      </c>
      <c r="AL7" s="28">
        <f>IF('加入者（3人目）'!B6=0,0,1)</f>
        <v>0</v>
      </c>
      <c r="AP7" s="50" t="s">
        <v>62</v>
      </c>
      <c r="AQ7" s="50"/>
      <c r="AR7" s="183">
        <f>IF(AT7&lt;=0,1,0)</f>
        <v>1</v>
      </c>
      <c r="AS7" s="183"/>
      <c r="AT7" s="182">
        <f>IF($Z$11&gt;0,($K$11+$Z$11-AK16)-(($O$14*545000)+430000-100000*($Z$14-1)),($K$11+$Z$11-AK16)-(($O$14*545000)+430000)-100000*($Z$14-1))</f>
        <v>-430000</v>
      </c>
      <c r="AU7" s="182"/>
      <c r="AV7" s="182"/>
      <c r="AW7" s="182"/>
      <c r="AX7" s="40" t="str">
        <f>IF($F$8&gt;0,DATEDIF($F$8,AX3,"Y")," ")</f>
        <v xml:space="preserve"> </v>
      </c>
      <c r="AY7" s="40" t="str">
        <f t="shared" ref="AY7:BI7" si="22">IF($F$8&gt;0,DATEDIF($F$8,AY3,"Y")," ")</f>
        <v xml:space="preserve"> </v>
      </c>
      <c r="AZ7" s="40" t="str">
        <f t="shared" si="22"/>
        <v xml:space="preserve"> </v>
      </c>
      <c r="BA7" s="40" t="str">
        <f t="shared" si="22"/>
        <v xml:space="preserve"> </v>
      </c>
      <c r="BB7" s="40" t="str">
        <f t="shared" si="22"/>
        <v xml:space="preserve"> </v>
      </c>
      <c r="BC7" s="40" t="str">
        <f t="shared" si="22"/>
        <v xml:space="preserve"> </v>
      </c>
      <c r="BD7" s="40" t="str">
        <f t="shared" si="22"/>
        <v xml:space="preserve"> </v>
      </c>
      <c r="BE7" s="40" t="str">
        <f t="shared" si="22"/>
        <v xml:space="preserve"> </v>
      </c>
      <c r="BF7" s="40" t="str">
        <f t="shared" si="22"/>
        <v xml:space="preserve"> </v>
      </c>
      <c r="BG7" s="40" t="str">
        <f t="shared" si="22"/>
        <v xml:space="preserve"> </v>
      </c>
      <c r="BH7" s="40" t="str">
        <f t="shared" si="22"/>
        <v xml:space="preserve"> </v>
      </c>
      <c r="BI7" s="40" t="str">
        <f t="shared" si="22"/>
        <v xml:space="preserve"> </v>
      </c>
      <c r="BJ7" s="33">
        <f t="shared" si="9"/>
        <v>0</v>
      </c>
      <c r="BK7" s="33">
        <f t="shared" si="21"/>
        <v>0</v>
      </c>
      <c r="BL7" s="41">
        <f t="shared" si="10"/>
        <v>0</v>
      </c>
      <c r="BM7" s="41">
        <f t="shared" si="1"/>
        <v>0</v>
      </c>
      <c r="BN7" s="41">
        <f t="shared" si="2"/>
        <v>0</v>
      </c>
      <c r="BO7" s="41">
        <f t="shared" si="3"/>
        <v>0</v>
      </c>
      <c r="BP7" s="41">
        <f t="shared" si="4"/>
        <v>0</v>
      </c>
      <c r="BQ7" s="41">
        <f t="shared" si="5"/>
        <v>0</v>
      </c>
      <c r="BR7" s="41">
        <f t="shared" si="11"/>
        <v>6810</v>
      </c>
      <c r="BS7" s="104">
        <f t="shared" si="12"/>
        <v>0</v>
      </c>
      <c r="BT7" s="41">
        <f t="shared" si="13"/>
        <v>2190</v>
      </c>
      <c r="BU7" s="104">
        <f t="shared" si="14"/>
        <v>0</v>
      </c>
      <c r="BV7" s="41">
        <f t="shared" si="15"/>
        <v>2850</v>
      </c>
      <c r="BW7" s="41">
        <f t="shared" si="16"/>
        <v>0</v>
      </c>
      <c r="BX7" s="105">
        <f t="shared" si="6"/>
        <v>0</v>
      </c>
    </row>
    <row r="8" spans="1:76" ht="12" customHeight="1" x14ac:dyDescent="0.4">
      <c r="A8" s="138">
        <f>'加入者（4人目）'!B3</f>
        <v>0</v>
      </c>
      <c r="B8" s="139"/>
      <c r="C8" s="139"/>
      <c r="D8" s="139"/>
      <c r="E8" s="42" t="str">
        <f t="shared" si="7"/>
        <v>　</v>
      </c>
      <c r="F8" s="140">
        <f>'加入者（4人目）'!B6</f>
        <v>0</v>
      </c>
      <c r="G8" s="141"/>
      <c r="H8" s="141"/>
      <c r="I8" s="142"/>
      <c r="J8" s="40" t="str">
        <f t="shared" ref="J8:J10" si="23">IF(F8&gt;0,DATEDIF(F8,$W$1,"Y")," ")</f>
        <v xml:space="preserve"> </v>
      </c>
      <c r="K8" s="143">
        <f>'加入者（4人目）'!D37</f>
        <v>0</v>
      </c>
      <c r="L8" s="144"/>
      <c r="M8" s="144"/>
      <c r="N8" s="145"/>
      <c r="O8" s="43">
        <f t="shared" si="17"/>
        <v>0</v>
      </c>
      <c r="P8" s="27"/>
      <c r="Q8" s="27"/>
      <c r="R8" s="27"/>
      <c r="S8" s="27"/>
      <c r="T8" s="27"/>
      <c r="U8" s="27"/>
      <c r="V8" s="27"/>
      <c r="W8" s="184" t="str">
        <f>VLOOKUP($AS$10,$AS$3:$AT$6,2,TRUE)</f>
        <v>7割軽減</v>
      </c>
      <c r="X8" s="185"/>
      <c r="Y8" s="185"/>
      <c r="Z8" s="185"/>
      <c r="AA8" s="185"/>
      <c r="AB8" s="185"/>
      <c r="AC8" s="186"/>
      <c r="AD8" s="27"/>
      <c r="AE8" s="27"/>
      <c r="AF8" s="46">
        <f>IF(K8&gt;430000,430000,K8)</f>
        <v>0</v>
      </c>
      <c r="AG8" s="27"/>
      <c r="AH8" s="28">
        <f t="shared" si="19"/>
        <v>0</v>
      </c>
      <c r="AL8" s="28">
        <f>IF('加入者（4人目）'!B6=0,0,1)</f>
        <v>0</v>
      </c>
      <c r="AP8" s="50" t="s">
        <v>63</v>
      </c>
      <c r="AQ8" s="50"/>
      <c r="AR8" s="183">
        <f>IF(AT8&lt;=0,1,0)</f>
        <v>1</v>
      </c>
      <c r="AS8" s="183"/>
      <c r="AT8" s="182">
        <f>IF($Z$11&gt;0,($K$11+$Z$11-AK16)-(($O$14*295000)+430000-100000*($Z$14-1)),($K$11+$Z$11-AK16)-(($O$14*295000)+430000)-100000*($Z$14-1))</f>
        <v>-430000</v>
      </c>
      <c r="AU8" s="182"/>
      <c r="AV8" s="182"/>
      <c r="AW8" s="182"/>
      <c r="AX8" s="40" t="str">
        <f>IF($F$9&gt;0,DATEDIF($F$9,AX3,"Y")," ")</f>
        <v xml:space="preserve"> </v>
      </c>
      <c r="AY8" s="40" t="str">
        <f t="shared" ref="AY8:BI8" si="24">IF($F$9&gt;0,DATEDIF($F$9,AY3,"Y")," ")</f>
        <v xml:space="preserve"> </v>
      </c>
      <c r="AZ8" s="40" t="str">
        <f t="shared" si="24"/>
        <v xml:space="preserve"> </v>
      </c>
      <c r="BA8" s="40" t="str">
        <f t="shared" si="24"/>
        <v xml:space="preserve"> </v>
      </c>
      <c r="BB8" s="40" t="str">
        <f t="shared" si="24"/>
        <v xml:space="preserve"> </v>
      </c>
      <c r="BC8" s="40" t="str">
        <f t="shared" si="24"/>
        <v xml:space="preserve"> </v>
      </c>
      <c r="BD8" s="40" t="str">
        <f t="shared" si="24"/>
        <v xml:space="preserve"> </v>
      </c>
      <c r="BE8" s="40" t="str">
        <f t="shared" si="24"/>
        <v xml:space="preserve"> </v>
      </c>
      <c r="BF8" s="40" t="str">
        <f t="shared" si="24"/>
        <v xml:space="preserve"> </v>
      </c>
      <c r="BG8" s="40" t="str">
        <f t="shared" si="24"/>
        <v xml:space="preserve"> </v>
      </c>
      <c r="BH8" s="40" t="str">
        <f t="shared" si="24"/>
        <v xml:space="preserve"> </v>
      </c>
      <c r="BI8" s="40" t="str">
        <f t="shared" si="24"/>
        <v xml:space="preserve"> </v>
      </c>
      <c r="BJ8" s="33">
        <f t="shared" si="9"/>
        <v>0</v>
      </c>
      <c r="BK8" s="33">
        <f t="shared" si="21"/>
        <v>0</v>
      </c>
      <c r="BL8" s="41">
        <f t="shared" si="10"/>
        <v>0</v>
      </c>
      <c r="BM8" s="41">
        <f t="shared" si="1"/>
        <v>0</v>
      </c>
      <c r="BN8" s="41">
        <f t="shared" si="2"/>
        <v>0</v>
      </c>
      <c r="BO8" s="41">
        <f t="shared" si="3"/>
        <v>0</v>
      </c>
      <c r="BP8" s="41">
        <f t="shared" si="4"/>
        <v>0</v>
      </c>
      <c r="BQ8" s="41">
        <f t="shared" si="5"/>
        <v>0</v>
      </c>
      <c r="BR8" s="41">
        <f t="shared" si="11"/>
        <v>6810</v>
      </c>
      <c r="BS8" s="104">
        <f t="shared" si="12"/>
        <v>0</v>
      </c>
      <c r="BT8" s="41">
        <f t="shared" si="13"/>
        <v>2190</v>
      </c>
      <c r="BU8" s="104">
        <f t="shared" si="14"/>
        <v>0</v>
      </c>
      <c r="BV8" s="41">
        <f t="shared" si="15"/>
        <v>2850</v>
      </c>
      <c r="BW8" s="41">
        <f t="shared" si="16"/>
        <v>0</v>
      </c>
      <c r="BX8" s="105">
        <f t="shared" si="6"/>
        <v>0</v>
      </c>
    </row>
    <row r="9" spans="1:76" ht="12" customHeight="1" thickBot="1" x14ac:dyDescent="0.45">
      <c r="A9" s="138">
        <f>'加入者（5人目）'!B3</f>
        <v>0</v>
      </c>
      <c r="B9" s="139"/>
      <c r="C9" s="139"/>
      <c r="D9" s="139"/>
      <c r="E9" s="42" t="str">
        <f t="shared" si="7"/>
        <v>　</v>
      </c>
      <c r="F9" s="140">
        <f>'加入者（5人目）'!B6</f>
        <v>0</v>
      </c>
      <c r="G9" s="141"/>
      <c r="H9" s="141"/>
      <c r="I9" s="142"/>
      <c r="J9" s="40" t="str">
        <f t="shared" si="23"/>
        <v xml:space="preserve"> </v>
      </c>
      <c r="K9" s="143">
        <f>'加入者（5人目）'!D37</f>
        <v>0</v>
      </c>
      <c r="L9" s="144"/>
      <c r="M9" s="144"/>
      <c r="N9" s="145"/>
      <c r="O9" s="43">
        <f t="shared" si="17"/>
        <v>0</v>
      </c>
      <c r="P9" s="27"/>
      <c r="Q9" s="27"/>
      <c r="R9" s="27"/>
      <c r="S9" s="27"/>
      <c r="T9" s="27"/>
      <c r="U9" s="27"/>
      <c r="V9" s="27"/>
      <c r="W9" s="187"/>
      <c r="X9" s="188"/>
      <c r="Y9" s="188"/>
      <c r="Z9" s="188"/>
      <c r="AA9" s="188"/>
      <c r="AB9" s="188"/>
      <c r="AC9" s="189"/>
      <c r="AD9" s="27"/>
      <c r="AE9" s="27"/>
      <c r="AF9" s="46">
        <f>IF(K9&gt;430000,430000,K9)</f>
        <v>0</v>
      </c>
      <c r="AG9" s="27"/>
      <c r="AH9" s="28">
        <f t="shared" si="19"/>
        <v>0</v>
      </c>
      <c r="AL9" s="28">
        <f>IF('加入者（5人目）'!B6=0,0,1)</f>
        <v>0</v>
      </c>
      <c r="AP9" s="50" t="s">
        <v>64</v>
      </c>
      <c r="AQ9" s="50"/>
      <c r="AR9" s="183">
        <f>IF(AT9&lt;=0,1,0)</f>
        <v>1</v>
      </c>
      <c r="AS9" s="183"/>
      <c r="AT9" s="182">
        <f>IF($Z$11&gt;0,($K$11+$Z$11-AK16)-(430000+100000*($Z$14-1)),($K$11+$Z$11-AK16)-(430000+100000*($Z$14-1)))</f>
        <v>-430000</v>
      </c>
      <c r="AU9" s="182"/>
      <c r="AV9" s="182"/>
      <c r="AW9" s="182"/>
      <c r="AX9" s="40" t="str">
        <f>IF($F$10&gt;0,DATEDIF($F$10,AX3,"Y")," ")</f>
        <v xml:space="preserve"> </v>
      </c>
      <c r="AY9" s="40" t="str">
        <f t="shared" ref="AY9:BI9" si="25">IF($F$10&gt;0,DATEDIF($F$10,AY3,"Y")," ")</f>
        <v xml:space="preserve"> </v>
      </c>
      <c r="AZ9" s="40" t="str">
        <f t="shared" si="25"/>
        <v xml:space="preserve"> </v>
      </c>
      <c r="BA9" s="40" t="str">
        <f t="shared" si="25"/>
        <v xml:space="preserve"> </v>
      </c>
      <c r="BB9" s="40" t="str">
        <f t="shared" si="25"/>
        <v xml:space="preserve"> </v>
      </c>
      <c r="BC9" s="40" t="str">
        <f t="shared" si="25"/>
        <v xml:space="preserve"> </v>
      </c>
      <c r="BD9" s="40" t="str">
        <f t="shared" si="25"/>
        <v xml:space="preserve"> </v>
      </c>
      <c r="BE9" s="40" t="str">
        <f t="shared" si="25"/>
        <v xml:space="preserve"> </v>
      </c>
      <c r="BF9" s="40" t="str">
        <f t="shared" si="25"/>
        <v xml:space="preserve"> </v>
      </c>
      <c r="BG9" s="40" t="str">
        <f t="shared" si="25"/>
        <v xml:space="preserve"> </v>
      </c>
      <c r="BH9" s="40" t="str">
        <f t="shared" si="25"/>
        <v xml:space="preserve"> </v>
      </c>
      <c r="BI9" s="40" t="str">
        <f t="shared" si="25"/>
        <v xml:space="preserve"> </v>
      </c>
      <c r="BJ9" s="33">
        <f t="shared" si="9"/>
        <v>0</v>
      </c>
      <c r="BK9" s="33">
        <f t="shared" si="21"/>
        <v>0</v>
      </c>
      <c r="BL9" s="41">
        <f t="shared" si="10"/>
        <v>0</v>
      </c>
      <c r="BM9" s="41">
        <f t="shared" si="1"/>
        <v>0</v>
      </c>
      <c r="BN9" s="41">
        <f t="shared" si="2"/>
        <v>0</v>
      </c>
      <c r="BO9" s="41">
        <f t="shared" si="3"/>
        <v>0</v>
      </c>
      <c r="BP9" s="41">
        <f t="shared" si="4"/>
        <v>0</v>
      </c>
      <c r="BQ9" s="41">
        <f t="shared" si="5"/>
        <v>0</v>
      </c>
      <c r="BR9" s="51">
        <f t="shared" si="11"/>
        <v>6810</v>
      </c>
      <c r="BS9" s="104">
        <f t="shared" si="12"/>
        <v>0</v>
      </c>
      <c r="BT9" s="41">
        <f>ROUNDDOWN($BT$10*VLOOKUP($M$70,$AV$3:$AW$6,2,TRUE)*(12-BJ9)/12,0)</f>
        <v>2190</v>
      </c>
      <c r="BU9" s="104">
        <f t="shared" si="14"/>
        <v>0</v>
      </c>
      <c r="BV9" s="41">
        <f t="shared" si="15"/>
        <v>2850</v>
      </c>
      <c r="BW9" s="41">
        <f t="shared" si="16"/>
        <v>0</v>
      </c>
      <c r="BX9" s="105">
        <f t="shared" si="6"/>
        <v>0</v>
      </c>
    </row>
    <row r="10" spans="1:76" ht="12" customHeight="1" thickBot="1" x14ac:dyDescent="0.45">
      <c r="A10" s="138">
        <f>'加入者（6人目）'!B3</f>
        <v>0</v>
      </c>
      <c r="B10" s="139"/>
      <c r="C10" s="139"/>
      <c r="D10" s="139"/>
      <c r="E10" s="42" t="str">
        <f t="shared" si="7"/>
        <v>　</v>
      </c>
      <c r="F10" s="140">
        <f>'加入者（6人目）'!B6</f>
        <v>0</v>
      </c>
      <c r="G10" s="141"/>
      <c r="H10" s="141"/>
      <c r="I10" s="142"/>
      <c r="J10" s="40" t="str">
        <f t="shared" si="23"/>
        <v xml:space="preserve"> </v>
      </c>
      <c r="K10" s="143">
        <f>'加入者（6人目）'!D37</f>
        <v>0</v>
      </c>
      <c r="L10" s="144"/>
      <c r="M10" s="144"/>
      <c r="N10" s="145"/>
      <c r="O10" s="43">
        <f t="shared" si="17"/>
        <v>0</v>
      </c>
      <c r="P10" s="27"/>
      <c r="Q10" s="27"/>
      <c r="R10" s="27"/>
      <c r="S10" s="27"/>
      <c r="T10" s="27"/>
      <c r="U10" s="27"/>
      <c r="V10" s="52" t="s">
        <v>65</v>
      </c>
      <c r="W10" s="27"/>
      <c r="X10" s="27"/>
      <c r="Y10" s="27"/>
      <c r="Z10" s="27"/>
      <c r="AA10" s="27"/>
      <c r="AB10" s="27"/>
      <c r="AC10" s="27"/>
      <c r="AD10" s="27"/>
      <c r="AE10" s="27"/>
      <c r="AF10" s="46">
        <f>IF(K10&gt;430000,430000,K10)</f>
        <v>0</v>
      </c>
      <c r="AG10" s="27"/>
      <c r="AH10" s="28">
        <f t="shared" si="19"/>
        <v>0</v>
      </c>
      <c r="AL10" s="28">
        <f>IF('加入者（6人目）'!B6=0,0,1)</f>
        <v>0</v>
      </c>
      <c r="AS10" s="53">
        <f>SUM(AR7:AS9)</f>
        <v>3</v>
      </c>
      <c r="AW10" s="36" t="s">
        <v>153</v>
      </c>
      <c r="AX10" s="33">
        <f>COUNTIF(AX4:AX9,"&lt;75")</f>
        <v>0</v>
      </c>
      <c r="AY10" s="33">
        <f t="shared" ref="AY10:BI10" si="26">COUNTIF(AY4:AY9,"&lt;75")</f>
        <v>0</v>
      </c>
      <c r="AZ10" s="33">
        <f t="shared" si="26"/>
        <v>0</v>
      </c>
      <c r="BA10" s="33">
        <f t="shared" si="26"/>
        <v>0</v>
      </c>
      <c r="BB10" s="33">
        <f t="shared" si="26"/>
        <v>0</v>
      </c>
      <c r="BC10" s="33">
        <f t="shared" si="26"/>
        <v>0</v>
      </c>
      <c r="BD10" s="33">
        <f t="shared" si="26"/>
        <v>0</v>
      </c>
      <c r="BE10" s="33">
        <f t="shared" si="26"/>
        <v>0</v>
      </c>
      <c r="BF10" s="33">
        <f t="shared" si="26"/>
        <v>0</v>
      </c>
      <c r="BG10" s="33">
        <f t="shared" si="26"/>
        <v>0</v>
      </c>
      <c r="BH10" s="33">
        <f t="shared" si="26"/>
        <v>0</v>
      </c>
      <c r="BI10" s="33">
        <f t="shared" si="26"/>
        <v>0</v>
      </c>
      <c r="BJ10" s="28">
        <f t="shared" ref="BJ10:BJ11" si="27">SUM(AX10:BI10)</f>
        <v>0</v>
      </c>
      <c r="BQ10" s="54" t="s">
        <v>162</v>
      </c>
      <c r="BR10" s="33">
        <v>22700</v>
      </c>
      <c r="BT10" s="33">
        <v>7300</v>
      </c>
      <c r="BV10" s="33">
        <v>9500</v>
      </c>
      <c r="BX10" s="33">
        <f>SUM(BX4:BX9)</f>
        <v>0</v>
      </c>
    </row>
    <row r="11" spans="1:76" ht="12.75" thickBot="1" x14ac:dyDescent="0.45">
      <c r="A11" s="27"/>
      <c r="B11" s="55"/>
      <c r="C11" s="55"/>
      <c r="D11" s="27"/>
      <c r="E11" s="27"/>
      <c r="F11" s="130" t="s">
        <v>66</v>
      </c>
      <c r="G11" s="130"/>
      <c r="H11" s="130"/>
      <c r="I11" s="130"/>
      <c r="J11" s="131"/>
      <c r="K11" s="132">
        <f>SUM(K5:N10)</f>
        <v>0</v>
      </c>
      <c r="L11" s="133"/>
      <c r="M11" s="133"/>
      <c r="N11" s="134"/>
      <c r="O11" s="56"/>
      <c r="P11" s="57"/>
      <c r="Q11" s="57"/>
      <c r="R11" s="57"/>
      <c r="S11" s="57"/>
      <c r="T11" s="57"/>
      <c r="U11" s="57"/>
      <c r="V11" s="45"/>
      <c r="W11" s="45"/>
      <c r="X11" s="27"/>
      <c r="Y11" s="58" t="s">
        <v>67</v>
      </c>
      <c r="Z11" s="135">
        <f>世帯主!D37</f>
        <v>0</v>
      </c>
      <c r="AA11" s="136"/>
      <c r="AB11" s="136"/>
      <c r="AC11" s="137"/>
      <c r="AD11" s="27"/>
      <c r="AE11" s="27"/>
      <c r="AF11" s="46"/>
      <c r="AG11" s="27"/>
      <c r="AW11" s="36" t="s">
        <v>154</v>
      </c>
      <c r="AX11" s="33">
        <f>COUNTIFS(AX4:AX9,"&gt;39",AX4:AX9,"&lt;65")</f>
        <v>0</v>
      </c>
      <c r="AY11" s="33">
        <f t="shared" ref="AY11:BI11" si="28">COUNTIFS(AY4:AY9,"&gt;39",AY4:AY9,"&lt;65")</f>
        <v>0</v>
      </c>
      <c r="AZ11" s="33">
        <f t="shared" si="28"/>
        <v>0</v>
      </c>
      <c r="BA11" s="33">
        <f t="shared" si="28"/>
        <v>0</v>
      </c>
      <c r="BB11" s="33">
        <f t="shared" si="28"/>
        <v>0</v>
      </c>
      <c r="BC11" s="33">
        <f t="shared" si="28"/>
        <v>0</v>
      </c>
      <c r="BD11" s="33">
        <f t="shared" si="28"/>
        <v>0</v>
      </c>
      <c r="BE11" s="33">
        <f t="shared" si="28"/>
        <v>0</v>
      </c>
      <c r="BF11" s="33">
        <f t="shared" si="28"/>
        <v>0</v>
      </c>
      <c r="BG11" s="33">
        <f t="shared" si="28"/>
        <v>0</v>
      </c>
      <c r="BH11" s="33">
        <f t="shared" si="28"/>
        <v>0</v>
      </c>
      <c r="BI11" s="33">
        <f t="shared" si="28"/>
        <v>0</v>
      </c>
      <c r="BJ11" s="28">
        <f t="shared" si="27"/>
        <v>0</v>
      </c>
      <c r="BQ11" s="54" t="s">
        <v>163</v>
      </c>
      <c r="BR11" s="33">
        <v>20200</v>
      </c>
      <c r="BT11" s="33">
        <v>6600</v>
      </c>
      <c r="BV11" s="33">
        <v>7000</v>
      </c>
    </row>
    <row r="12" spans="1:76" ht="12.75" thickBot="1" x14ac:dyDescent="0.45">
      <c r="A12" s="27"/>
      <c r="B12" s="55"/>
      <c r="C12" s="55"/>
      <c r="D12" s="27"/>
      <c r="E12" s="27"/>
      <c r="F12" s="59"/>
      <c r="G12" s="59"/>
      <c r="H12" s="59"/>
      <c r="I12" s="59"/>
      <c r="J12" s="60" t="s">
        <v>139</v>
      </c>
      <c r="K12" s="146">
        <f>IF(OR(AJ20&lt;40,65&lt;=AJ20),K5,0)+
IF(OR(AJ21&lt;40,65&lt;=AJ21),K6,0)+
IF(OR(AJ22&lt;40,65&lt;=AJ22),K7,0)+
IF(OR(AJ23&lt;40,65&lt;=AJ23),K8,0)+
IF(OR(AJ24&lt;40,65&lt;=AJ24),K9,0)+
IF(OR(AJ25&lt;40,65&lt;=AJ25),K10,0)</f>
        <v>0</v>
      </c>
      <c r="L12" s="147"/>
      <c r="M12" s="147"/>
      <c r="N12" s="148"/>
      <c r="O12" s="61"/>
      <c r="P12" s="61"/>
      <c r="Q12" s="61"/>
      <c r="R12" s="61"/>
      <c r="S12" s="61"/>
      <c r="T12" s="61"/>
      <c r="U12" s="61"/>
      <c r="V12" s="61"/>
      <c r="W12" s="61"/>
      <c r="X12" s="30"/>
      <c r="Y12" s="27"/>
      <c r="Z12" s="27"/>
      <c r="AA12" s="27"/>
      <c r="AB12" s="27"/>
      <c r="AC12" s="27"/>
      <c r="AD12" s="27"/>
      <c r="AE12" s="27"/>
      <c r="AF12" s="27"/>
      <c r="AG12" s="27"/>
      <c r="AW12" s="36" t="s">
        <v>155</v>
      </c>
      <c r="AX12" s="33">
        <f>IF(AX10&gt;0,1,0)</f>
        <v>0</v>
      </c>
      <c r="AY12" s="33">
        <f t="shared" ref="AY12:BI12" si="29">IF(AY10&gt;0,1,0)</f>
        <v>0</v>
      </c>
      <c r="AZ12" s="33">
        <f t="shared" si="29"/>
        <v>0</v>
      </c>
      <c r="BA12" s="33">
        <f t="shared" si="29"/>
        <v>0</v>
      </c>
      <c r="BB12" s="33">
        <f t="shared" si="29"/>
        <v>0</v>
      </c>
      <c r="BC12" s="33">
        <f t="shared" si="29"/>
        <v>0</v>
      </c>
      <c r="BD12" s="33">
        <f t="shared" si="29"/>
        <v>0</v>
      </c>
      <c r="BE12" s="33">
        <f t="shared" si="29"/>
        <v>0</v>
      </c>
      <c r="BF12" s="33">
        <f t="shared" si="29"/>
        <v>0</v>
      </c>
      <c r="BG12" s="33">
        <f t="shared" si="29"/>
        <v>0</v>
      </c>
      <c r="BH12" s="33">
        <f t="shared" si="29"/>
        <v>0</v>
      </c>
      <c r="BI12" s="33">
        <f t="shared" si="29"/>
        <v>0</v>
      </c>
      <c r="BJ12" s="28">
        <f>SUM(AX12:BI12)</f>
        <v>0</v>
      </c>
      <c r="BQ12" s="28" t="s">
        <v>164</v>
      </c>
      <c r="BR12" s="33">
        <v>5.5</v>
      </c>
      <c r="BT12" s="33">
        <v>1.65</v>
      </c>
      <c r="BV12" s="33">
        <v>1.75</v>
      </c>
    </row>
    <row r="13" spans="1:76" ht="4.5" customHeight="1" thickBot="1" x14ac:dyDescent="0.45">
      <c r="A13" s="27"/>
      <c r="B13" s="55"/>
      <c r="C13" s="55"/>
      <c r="D13" s="27"/>
      <c r="E13" s="27"/>
      <c r="F13" s="59"/>
      <c r="G13" s="59"/>
      <c r="H13" s="59"/>
      <c r="I13" s="59"/>
      <c r="J13" s="59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27"/>
      <c r="Z13" s="27"/>
      <c r="AA13" s="61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W13" s="54"/>
    </row>
    <row r="14" spans="1:76" ht="12" customHeight="1" thickBot="1" x14ac:dyDescent="0.45">
      <c r="A14" s="27"/>
      <c r="B14" s="55"/>
      <c r="C14" s="55"/>
      <c r="D14" s="27"/>
      <c r="E14" s="27"/>
      <c r="F14" s="62" t="s">
        <v>160</v>
      </c>
      <c r="G14" s="62"/>
      <c r="H14" s="62"/>
      <c r="I14" s="62"/>
      <c r="J14" s="62"/>
      <c r="K14" s="62"/>
      <c r="L14" s="62"/>
      <c r="M14" s="62"/>
      <c r="N14" s="27"/>
      <c r="O14" s="149">
        <f>SUM(AL5:AL10)</f>
        <v>0</v>
      </c>
      <c r="P14" s="150"/>
      <c r="Q14" s="63" t="s">
        <v>68</v>
      </c>
      <c r="R14" s="63"/>
      <c r="S14" s="63"/>
      <c r="T14" s="63"/>
      <c r="U14" s="63"/>
      <c r="V14" s="27"/>
      <c r="W14" s="27"/>
      <c r="X14" s="61"/>
      <c r="Y14" s="64" t="s">
        <v>69</v>
      </c>
      <c r="Z14" s="151">
        <f>IF(AF16&gt;0,AF16,1)</f>
        <v>1</v>
      </c>
      <c r="AA14" s="152"/>
      <c r="AB14" s="152"/>
      <c r="AC14" s="153"/>
      <c r="AD14" s="65" t="s">
        <v>68</v>
      </c>
      <c r="AE14" s="27"/>
      <c r="AF14" s="27" t="s">
        <v>69</v>
      </c>
      <c r="AG14" s="27"/>
      <c r="AH14" s="27"/>
      <c r="AI14" s="27"/>
      <c r="AJ14" s="27"/>
      <c r="AK14" s="27" t="s">
        <v>158</v>
      </c>
      <c r="AW14" s="36" t="s">
        <v>156</v>
      </c>
      <c r="AX14" s="33">
        <f>IF(AX11&gt;0,1,0)</f>
        <v>0</v>
      </c>
      <c r="AY14" s="33">
        <f t="shared" ref="AY14:BI14" si="30">IF(AY11&gt;0,1,0)</f>
        <v>0</v>
      </c>
      <c r="AZ14" s="33">
        <f t="shared" si="30"/>
        <v>0</v>
      </c>
      <c r="BA14" s="33">
        <f t="shared" si="30"/>
        <v>0</v>
      </c>
      <c r="BB14" s="33">
        <f t="shared" si="30"/>
        <v>0</v>
      </c>
      <c r="BC14" s="33">
        <f t="shared" si="30"/>
        <v>0</v>
      </c>
      <c r="BD14" s="33">
        <f t="shared" si="30"/>
        <v>0</v>
      </c>
      <c r="BE14" s="33">
        <f t="shared" si="30"/>
        <v>0</v>
      </c>
      <c r="BF14" s="33">
        <f t="shared" si="30"/>
        <v>0</v>
      </c>
      <c r="BG14" s="33">
        <f t="shared" si="30"/>
        <v>0</v>
      </c>
      <c r="BH14" s="33">
        <f t="shared" si="30"/>
        <v>0</v>
      </c>
      <c r="BI14" s="33">
        <f t="shared" si="30"/>
        <v>0</v>
      </c>
      <c r="BJ14" s="28">
        <f>SUM(AX14:BI14)</f>
        <v>0</v>
      </c>
    </row>
    <row r="15" spans="1:76" ht="4.5" customHeight="1" x14ac:dyDescent="0.4">
      <c r="A15" s="27"/>
      <c r="B15" s="55"/>
      <c r="C15" s="5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61"/>
      <c r="AA15" s="27"/>
      <c r="AB15" s="27"/>
      <c r="AC15" s="27"/>
      <c r="AD15" s="27"/>
      <c r="AE15" s="27"/>
      <c r="AF15" s="27"/>
      <c r="AG15" s="27"/>
      <c r="AH15" s="59"/>
      <c r="AI15" s="27"/>
      <c r="AJ15" s="27"/>
      <c r="AK15" s="27"/>
    </row>
    <row r="16" spans="1:76" ht="12" customHeight="1" x14ac:dyDescent="0.4">
      <c r="A16" s="27"/>
      <c r="B16" s="55"/>
      <c r="C16" s="55"/>
      <c r="D16" s="27"/>
      <c r="E16" s="27"/>
      <c r="F16" s="62" t="s">
        <v>161</v>
      </c>
      <c r="G16" s="62"/>
      <c r="H16" s="62"/>
      <c r="I16" s="62"/>
      <c r="J16" s="62"/>
      <c r="K16" s="62"/>
      <c r="L16" s="62"/>
      <c r="M16" s="62"/>
      <c r="N16" s="27"/>
      <c r="O16" s="149">
        <f>SUM(O5:O10)</f>
        <v>0</v>
      </c>
      <c r="P16" s="150"/>
      <c r="Q16" s="63" t="s">
        <v>68</v>
      </c>
      <c r="R16" s="63"/>
      <c r="S16" s="63"/>
      <c r="T16" s="63"/>
      <c r="U16" s="63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>
        <f>'加入者（1人目）'!R31+'加入者（2人目）'!R31+'加入者（3人目）'!R31+'加入者（4人目）'!R31+'加入者（5人目）'!R31+'加入者（6人目）'!R31+世帯主!R31</f>
        <v>0</v>
      </c>
      <c r="AG16" s="27"/>
      <c r="AH16" s="59"/>
      <c r="AI16" s="27"/>
      <c r="AJ16" s="27"/>
      <c r="AK16" s="27">
        <f>'加入者（1人目）'!E33+'加入者（2人目）'!E33+'加入者（3人目）'!E33+'加入者（4人目）'!E33+'加入者（5人目）'!E33+'加入者（6人目）'!E33+世帯主!E33</f>
        <v>0</v>
      </c>
      <c r="AL16" s="66"/>
    </row>
    <row r="17" spans="1:40" ht="9" customHeight="1" x14ac:dyDescent="0.4">
      <c r="A17" s="27"/>
      <c r="B17" s="55"/>
      <c r="C17" s="55"/>
      <c r="D17" s="27"/>
      <c r="E17" s="59"/>
      <c r="F17" s="59"/>
      <c r="G17" s="59"/>
      <c r="H17" s="59"/>
      <c r="I17" s="59"/>
      <c r="J17" s="61"/>
      <c r="K17" s="61"/>
      <c r="L17" s="61"/>
      <c r="M17" s="61"/>
      <c r="N17" s="30"/>
      <c r="O17" s="27"/>
      <c r="P17" s="27"/>
      <c r="Q17" s="27"/>
      <c r="R17" s="27"/>
      <c r="S17" s="27"/>
      <c r="T17" s="27"/>
      <c r="U17" s="27"/>
      <c r="V17" s="61"/>
      <c r="W17" s="27"/>
      <c r="X17" s="27"/>
      <c r="Y17" s="27"/>
      <c r="Z17" s="61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66"/>
    </row>
    <row r="18" spans="1:40" x14ac:dyDescent="0.4">
      <c r="A18" s="160" t="s">
        <v>70</v>
      </c>
      <c r="B18" s="160"/>
      <c r="C18" s="160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 t="s">
        <v>159</v>
      </c>
      <c r="AG18" s="27"/>
      <c r="AH18" s="59"/>
      <c r="AI18" s="27"/>
      <c r="AJ18" s="27"/>
      <c r="AK18" s="27"/>
    </row>
    <row r="19" spans="1:40" ht="3" customHeight="1" x14ac:dyDescent="0.4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59"/>
      <c r="AD19" s="27"/>
      <c r="AE19" s="27"/>
      <c r="AF19" s="27"/>
    </row>
    <row r="20" spans="1:40" x14ac:dyDescent="0.4">
      <c r="A20" s="27"/>
      <c r="B20" s="27"/>
      <c r="C20" s="44" t="s">
        <v>71</v>
      </c>
      <c r="D20" s="27"/>
      <c r="E20" s="27"/>
      <c r="F20" s="27"/>
      <c r="G20" s="27"/>
      <c r="H20" s="27"/>
      <c r="I20" s="44" t="s">
        <v>72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59"/>
      <c r="AD20" s="27"/>
      <c r="AE20" s="27"/>
      <c r="AF20" s="214">
        <v>45383</v>
      </c>
      <c r="AG20" s="214"/>
      <c r="AH20" s="214"/>
      <c r="AI20" s="214"/>
      <c r="AJ20" s="40" t="str">
        <f>IF(F5&gt;0,DATEDIF(F5,$AF$20,"Y")," ")</f>
        <v xml:space="preserve"> </v>
      </c>
      <c r="AK20" s="67">
        <f>IF(AJ20=39,K5,0)</f>
        <v>0</v>
      </c>
    </row>
    <row r="21" spans="1:40" x14ac:dyDescent="0.4">
      <c r="A21" s="155" t="s">
        <v>73</v>
      </c>
      <c r="B21" s="156"/>
      <c r="C21" s="154">
        <f>K11</f>
        <v>0</v>
      </c>
      <c r="D21" s="154"/>
      <c r="E21" s="154"/>
      <c r="F21" s="154"/>
      <c r="G21" s="27" t="s">
        <v>74</v>
      </c>
      <c r="H21" s="27"/>
      <c r="I21" s="154">
        <f>SUM(AF5:AF10)</f>
        <v>0</v>
      </c>
      <c r="J21" s="154"/>
      <c r="K21" s="154"/>
      <c r="L21" s="154"/>
      <c r="M21" s="27" t="s">
        <v>75</v>
      </c>
      <c r="N21" s="27"/>
      <c r="O21" s="161">
        <f>BR12</f>
        <v>5.5</v>
      </c>
      <c r="P21" s="161"/>
      <c r="Q21" s="27" t="s">
        <v>76</v>
      </c>
      <c r="R21" s="27"/>
      <c r="S21" s="154">
        <f>ROUNDDOWN(IF(C21&lt;=I21,0,(C21-I21)*(O21/100)),0)-AA21</f>
        <v>0</v>
      </c>
      <c r="T21" s="154"/>
      <c r="U21" s="154"/>
      <c r="V21" s="154"/>
      <c r="W21" s="27" t="s">
        <v>77</v>
      </c>
      <c r="X21" s="27"/>
      <c r="Y21" s="27"/>
      <c r="Z21" s="27"/>
      <c r="AA21" s="172">
        <f>SUM(BM4:BM9)</f>
        <v>0</v>
      </c>
      <c r="AB21" s="173"/>
      <c r="AC21" s="173"/>
      <c r="AD21" s="27" t="s">
        <v>141</v>
      </c>
      <c r="AE21" s="27"/>
      <c r="AF21" s="68"/>
      <c r="AG21" s="68"/>
      <c r="AH21" s="68"/>
      <c r="AI21" s="68"/>
      <c r="AJ21" s="40" t="str">
        <f t="shared" ref="AJ21:AJ25" si="31">IF(F6&gt;0,DATEDIF(F6,$AF$20,"Y")," ")</f>
        <v xml:space="preserve"> </v>
      </c>
      <c r="AK21" s="67">
        <f t="shared" ref="AK21:AK25" si="32">IF(AJ21=39,K6,0)</f>
        <v>0</v>
      </c>
    </row>
    <row r="22" spans="1:40" ht="3" customHeight="1" x14ac:dyDescent="0.4">
      <c r="A22" s="64"/>
      <c r="B22" s="64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59"/>
      <c r="AD22" s="27"/>
      <c r="AE22" s="27"/>
      <c r="AF22" s="27"/>
      <c r="AJ22" s="40" t="str">
        <f t="shared" si="31"/>
        <v xml:space="preserve"> </v>
      </c>
      <c r="AK22" s="67">
        <f t="shared" si="32"/>
        <v>0</v>
      </c>
    </row>
    <row r="23" spans="1:40" ht="3" customHeight="1" x14ac:dyDescent="0.4">
      <c r="A23" s="64"/>
      <c r="B23" s="64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J23" s="40" t="str">
        <f t="shared" si="31"/>
        <v xml:space="preserve"> </v>
      </c>
      <c r="AK23" s="67">
        <f t="shared" si="32"/>
        <v>0</v>
      </c>
    </row>
    <row r="24" spans="1:40" ht="12" customHeight="1" x14ac:dyDescent="0.4">
      <c r="A24" s="64"/>
      <c r="B24" s="64"/>
      <c r="C24" s="27"/>
      <c r="D24" s="27"/>
      <c r="E24" s="27"/>
      <c r="F24" s="27"/>
      <c r="G24" s="27"/>
      <c r="H24" s="27"/>
      <c r="I24" s="27"/>
      <c r="J24" s="44" t="s">
        <v>78</v>
      </c>
      <c r="K24" s="27"/>
      <c r="L24" s="27"/>
      <c r="M24" s="27"/>
      <c r="N24" s="44" t="s">
        <v>79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69"/>
      <c r="AH24" s="69"/>
      <c r="AI24" s="69"/>
      <c r="AJ24" s="40" t="str">
        <f t="shared" si="31"/>
        <v xml:space="preserve"> </v>
      </c>
      <c r="AK24" s="67">
        <f t="shared" si="32"/>
        <v>0</v>
      </c>
    </row>
    <row r="25" spans="1:40" ht="12" customHeight="1" x14ac:dyDescent="0.4">
      <c r="A25" s="155" t="s">
        <v>80</v>
      </c>
      <c r="B25" s="156"/>
      <c r="C25" s="27"/>
      <c r="D25" s="27"/>
      <c r="E25" s="27"/>
      <c r="F25" s="27"/>
      <c r="G25" s="27"/>
      <c r="H25" s="27"/>
      <c r="I25" s="27"/>
      <c r="J25" s="157">
        <f>O14</f>
        <v>0</v>
      </c>
      <c r="K25" s="157"/>
      <c r="L25" s="27" t="s">
        <v>81</v>
      </c>
      <c r="M25" s="27"/>
      <c r="N25" s="158">
        <f>BR10</f>
        <v>22700</v>
      </c>
      <c r="O25" s="158"/>
      <c r="P25" s="158"/>
      <c r="Q25" s="27" t="s">
        <v>82</v>
      </c>
      <c r="R25" s="27"/>
      <c r="S25" s="154" t="e">
        <f>AF25-(AF25/J25*$BX$10*0.5)</f>
        <v>#DIV/0!</v>
      </c>
      <c r="T25" s="154"/>
      <c r="U25" s="154"/>
      <c r="V25" s="154"/>
      <c r="W25" s="27" t="s">
        <v>77</v>
      </c>
      <c r="X25" s="70" t="s">
        <v>83</v>
      </c>
      <c r="Y25" s="27"/>
      <c r="Z25" s="27"/>
      <c r="AA25" s="211">
        <f>SUM(BS4:BS9)</f>
        <v>0</v>
      </c>
      <c r="AB25" s="212"/>
      <c r="AC25" s="213"/>
      <c r="AD25" s="27" t="s">
        <v>141</v>
      </c>
      <c r="AE25" s="27"/>
      <c r="AF25" s="154">
        <f>$J$25*$N$25*VLOOKUP($M$70,$AV$3:$AW$6,2,TRUE)-$AA$25</f>
        <v>0</v>
      </c>
      <c r="AG25" s="154"/>
      <c r="AH25" s="154"/>
      <c r="AI25" s="154"/>
      <c r="AJ25" s="40" t="str">
        <f t="shared" si="31"/>
        <v xml:space="preserve"> </v>
      </c>
      <c r="AK25" s="67">
        <f t="shared" si="32"/>
        <v>0</v>
      </c>
    </row>
    <row r="26" spans="1:40" ht="3" customHeight="1" thickBot="1" x14ac:dyDescent="0.45">
      <c r="A26" s="64"/>
      <c r="B26" s="6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I26" s="71"/>
      <c r="AJ26" s="72"/>
    </row>
    <row r="27" spans="1:40" ht="12" customHeight="1" thickBot="1" x14ac:dyDescent="0.45">
      <c r="A27" s="64"/>
      <c r="B27" s="6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44" t="s">
        <v>84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I27" s="71"/>
      <c r="AJ27" s="73"/>
      <c r="AK27" s="146">
        <f>SUM(AK20:AK26)</f>
        <v>0</v>
      </c>
      <c r="AL27" s="147"/>
      <c r="AM27" s="147"/>
      <c r="AN27" s="148"/>
    </row>
    <row r="28" spans="1:40" ht="12" customHeight="1" x14ac:dyDescent="0.4">
      <c r="A28" s="155" t="s">
        <v>85</v>
      </c>
      <c r="B28" s="15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58">
        <f>BR11</f>
        <v>20200</v>
      </c>
      <c r="O28" s="158"/>
      <c r="P28" s="158"/>
      <c r="Q28" s="27" t="s">
        <v>82</v>
      </c>
      <c r="R28" s="27"/>
      <c r="S28" s="159" t="e">
        <f>ROUNDDOWN(IF(O14&lt;=0,0,N28)*VLOOKUP($M$70,$AV$3:$AW$6,2,TRUE)*$BJ$10/($O$14*12),0)</f>
        <v>#DIV/0!</v>
      </c>
      <c r="T28" s="159"/>
      <c r="U28" s="159"/>
      <c r="V28" s="159"/>
      <c r="W28" s="27" t="s">
        <v>77</v>
      </c>
      <c r="X28" s="70" t="s">
        <v>83</v>
      </c>
      <c r="Y28" s="27"/>
      <c r="Z28" s="27"/>
      <c r="AA28" s="172" t="e">
        <f>N28-S28</f>
        <v>#DIV/0!</v>
      </c>
      <c r="AB28" s="173"/>
      <c r="AC28" s="173"/>
      <c r="AD28" s="27" t="s">
        <v>141</v>
      </c>
      <c r="AE28" s="27"/>
      <c r="AF28" s="27"/>
      <c r="AJ28" s="71"/>
    </row>
    <row r="29" spans="1:40" ht="3" customHeight="1" x14ac:dyDescent="0.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40" ht="12" customHeight="1" x14ac:dyDescent="0.4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40" ht="12" customHeight="1" x14ac:dyDescent="0.4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 t="s">
        <v>66</v>
      </c>
      <c r="R31" s="27"/>
      <c r="S31" s="162" t="e">
        <f>S21+S25+S28</f>
        <v>#DIV/0!</v>
      </c>
      <c r="T31" s="163"/>
      <c r="U31" s="163"/>
      <c r="V31" s="164"/>
      <c r="W31" s="27" t="s">
        <v>77</v>
      </c>
      <c r="X31" s="27"/>
      <c r="Y31" s="27"/>
      <c r="Z31" s="27"/>
      <c r="AA31" s="27"/>
      <c r="AB31" s="27"/>
      <c r="AC31" s="27"/>
      <c r="AD31" s="27"/>
      <c r="AE31" s="27"/>
      <c r="AF31" s="27"/>
    </row>
    <row r="32" spans="1:40" ht="3" customHeight="1" x14ac:dyDescent="0.4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5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74" t="s">
        <v>86</v>
      </c>
      <c r="T33" s="27"/>
      <c r="U33" s="165">
        <v>650000</v>
      </c>
      <c r="V33" s="165"/>
      <c r="W33" s="165"/>
      <c r="X33" s="27" t="s">
        <v>77</v>
      </c>
      <c r="Y33" s="27"/>
      <c r="Z33" s="27"/>
      <c r="AA33" s="27"/>
      <c r="AB33" s="27"/>
      <c r="AC33" s="27"/>
      <c r="AD33" s="27"/>
      <c r="AE33" s="27"/>
      <c r="AF33" s="27"/>
    </row>
    <row r="34" spans="1:35" ht="12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166" t="e">
        <f>IF(S31&lt;=U33,S31,U33)</f>
        <v>#DIV/0!</v>
      </c>
      <c r="T34" s="167"/>
      <c r="U34" s="167"/>
      <c r="V34" s="168"/>
      <c r="W34" s="27" t="s">
        <v>77</v>
      </c>
      <c r="X34" s="27" t="s">
        <v>87</v>
      </c>
      <c r="Y34" s="27"/>
      <c r="Z34" s="166" t="e">
        <f>ROUNDDOWN(S34,-2)</f>
        <v>#DIV/0!</v>
      </c>
      <c r="AA34" s="167"/>
      <c r="AB34" s="167"/>
      <c r="AC34" s="168"/>
      <c r="AD34" s="27" t="s">
        <v>77</v>
      </c>
      <c r="AE34" s="27"/>
      <c r="AF34" s="27"/>
    </row>
    <row r="35" spans="1:35" ht="12" customHeight="1" x14ac:dyDescent="0.4">
      <c r="A35" s="160" t="s">
        <v>88</v>
      </c>
      <c r="B35" s="160"/>
      <c r="C35" s="16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59"/>
      <c r="AD35" s="27"/>
      <c r="AE35" s="27"/>
      <c r="AF35" s="27"/>
    </row>
    <row r="36" spans="1:35" ht="3" customHeigh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59"/>
      <c r="AD36" s="27"/>
      <c r="AE36" s="27"/>
      <c r="AF36" s="27"/>
    </row>
    <row r="37" spans="1:35" ht="12" customHeight="1" x14ac:dyDescent="0.4">
      <c r="A37" s="27"/>
      <c r="B37" s="27"/>
      <c r="C37" s="44" t="s">
        <v>71</v>
      </c>
      <c r="D37" s="27"/>
      <c r="E37" s="27"/>
      <c r="F37" s="27"/>
      <c r="G37" s="27"/>
      <c r="H37" s="27"/>
      <c r="I37" s="44" t="s">
        <v>72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59"/>
      <c r="AD37" s="27"/>
      <c r="AE37" s="27"/>
      <c r="AF37" s="27"/>
    </row>
    <row r="38" spans="1:35" ht="12" customHeight="1" x14ac:dyDescent="0.4">
      <c r="A38" s="155" t="s">
        <v>73</v>
      </c>
      <c r="B38" s="156"/>
      <c r="C38" s="154">
        <f>C21</f>
        <v>0</v>
      </c>
      <c r="D38" s="154"/>
      <c r="E38" s="154"/>
      <c r="F38" s="154"/>
      <c r="G38" s="27" t="s">
        <v>74</v>
      </c>
      <c r="H38" s="27"/>
      <c r="I38" s="169">
        <f>I21</f>
        <v>0</v>
      </c>
      <c r="J38" s="170"/>
      <c r="K38" s="170"/>
      <c r="L38" s="171"/>
      <c r="M38" s="27" t="s">
        <v>75</v>
      </c>
      <c r="N38" s="27"/>
      <c r="O38" s="161">
        <f>BT12</f>
        <v>1.65</v>
      </c>
      <c r="P38" s="161"/>
      <c r="Q38" s="27" t="s">
        <v>76</v>
      </c>
      <c r="R38" s="27"/>
      <c r="S38" s="154">
        <f>ROUNDDOWN(IF(C38&lt;=I38,0,(C38-I38)*(O38/100)),0)-AA38</f>
        <v>0</v>
      </c>
      <c r="T38" s="154"/>
      <c r="U38" s="154"/>
      <c r="V38" s="154"/>
      <c r="W38" s="27" t="s">
        <v>77</v>
      </c>
      <c r="X38" s="27"/>
      <c r="Y38" s="27"/>
      <c r="Z38" s="27"/>
      <c r="AA38" s="172">
        <f>SUM(BO4:BO9)</f>
        <v>0</v>
      </c>
      <c r="AB38" s="173"/>
      <c r="AC38" s="173"/>
      <c r="AD38" s="27" t="s">
        <v>141</v>
      </c>
      <c r="AE38" s="27"/>
      <c r="AF38" s="27"/>
    </row>
    <row r="39" spans="1:35" ht="3" customHeight="1" x14ac:dyDescent="0.4">
      <c r="A39" s="64"/>
      <c r="B39" s="6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59"/>
      <c r="AD39" s="27"/>
      <c r="AE39" s="27"/>
      <c r="AF39" s="27"/>
    </row>
    <row r="40" spans="1:35" ht="3" customHeight="1" x14ac:dyDescent="0.4">
      <c r="A40" s="64"/>
      <c r="B40" s="6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5" ht="12" customHeight="1" x14ac:dyDescent="0.4">
      <c r="A41" s="64"/>
      <c r="B41" s="64"/>
      <c r="C41" s="27"/>
      <c r="D41" s="27"/>
      <c r="E41" s="27"/>
      <c r="F41" s="27"/>
      <c r="G41" s="27"/>
      <c r="H41" s="27"/>
      <c r="I41" s="27"/>
      <c r="J41" s="44" t="s">
        <v>78</v>
      </c>
      <c r="K41" s="27"/>
      <c r="L41" s="27"/>
      <c r="M41" s="27"/>
      <c r="N41" s="44" t="s">
        <v>79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5" ht="12" customHeight="1" x14ac:dyDescent="0.4">
      <c r="A42" s="155" t="s">
        <v>80</v>
      </c>
      <c r="B42" s="156"/>
      <c r="C42" s="27"/>
      <c r="D42" s="27"/>
      <c r="E42" s="27"/>
      <c r="F42" s="27"/>
      <c r="G42" s="27"/>
      <c r="H42" s="27"/>
      <c r="I42" s="27"/>
      <c r="J42" s="157">
        <f>J25</f>
        <v>0</v>
      </c>
      <c r="K42" s="157"/>
      <c r="L42" s="27" t="s">
        <v>81</v>
      </c>
      <c r="M42" s="27"/>
      <c r="N42" s="158">
        <f>BT10</f>
        <v>7300</v>
      </c>
      <c r="O42" s="158"/>
      <c r="P42" s="158"/>
      <c r="Q42" s="27" t="s">
        <v>82</v>
      </c>
      <c r="R42" s="27"/>
      <c r="S42" s="154" t="e">
        <f>AF42-(AF42/J42*$BX$10*0.5)</f>
        <v>#DIV/0!</v>
      </c>
      <c r="T42" s="154"/>
      <c r="U42" s="154"/>
      <c r="V42" s="154"/>
      <c r="W42" s="27" t="s">
        <v>77</v>
      </c>
      <c r="X42" s="70" t="s">
        <v>83</v>
      </c>
      <c r="Y42" s="27"/>
      <c r="Z42" s="27"/>
      <c r="AA42" s="172">
        <f>SUM(BU4:BU9)</f>
        <v>0</v>
      </c>
      <c r="AB42" s="173"/>
      <c r="AC42" s="173"/>
      <c r="AD42" s="27" t="s">
        <v>141</v>
      </c>
      <c r="AE42" s="27"/>
      <c r="AF42" s="154">
        <f>$J$42*$N$42*VLOOKUP($M$70,$AV$3:$AW$6,2,TRUE)-$AA$42</f>
        <v>0</v>
      </c>
      <c r="AG42" s="154"/>
      <c r="AH42" s="154"/>
      <c r="AI42" s="154"/>
    </row>
    <row r="43" spans="1:35" ht="3" customHeight="1" x14ac:dyDescent="0.4">
      <c r="A43" s="64"/>
      <c r="B43" s="64"/>
      <c r="C43" s="27"/>
      <c r="D43" s="27"/>
      <c r="E43" s="27"/>
      <c r="F43" s="27"/>
      <c r="G43" s="27"/>
      <c r="H43" s="27"/>
      <c r="I43" s="27"/>
      <c r="J43" s="27"/>
      <c r="K43" s="30"/>
      <c r="L43" s="27"/>
      <c r="M43" s="27"/>
      <c r="N43" s="27"/>
      <c r="O43" s="27"/>
      <c r="P43" s="27"/>
      <c r="Q43" s="27"/>
      <c r="R43" s="27"/>
      <c r="S43" s="30"/>
      <c r="T43" s="30"/>
      <c r="U43" s="30"/>
      <c r="V43" s="30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5" ht="12" customHeight="1" x14ac:dyDescent="0.4">
      <c r="A44" s="64"/>
      <c r="B44" s="6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44" t="s">
        <v>84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5" ht="12" customHeight="1" x14ac:dyDescent="0.4">
      <c r="A45" s="155" t="s">
        <v>85</v>
      </c>
      <c r="B45" s="15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158">
        <f>BT11</f>
        <v>6600</v>
      </c>
      <c r="O45" s="158"/>
      <c r="P45" s="158"/>
      <c r="Q45" s="27" t="s">
        <v>82</v>
      </c>
      <c r="R45" s="27"/>
      <c r="S45" s="159" t="e">
        <f>ROUNDDOWN(IF(O14&lt;=0,0,N45)*VLOOKUP($M$70,$AV$3:$AW$6,2,TRUE)*$BJ$10/($O$14*12),0)</f>
        <v>#DIV/0!</v>
      </c>
      <c r="T45" s="159"/>
      <c r="U45" s="159"/>
      <c r="V45" s="159"/>
      <c r="W45" s="27" t="s">
        <v>77</v>
      </c>
      <c r="X45" s="70" t="s">
        <v>83</v>
      </c>
      <c r="Y45" s="27"/>
      <c r="Z45" s="27"/>
      <c r="AA45" s="172" t="e">
        <f>N45-S45</f>
        <v>#DIV/0!</v>
      </c>
      <c r="AB45" s="173"/>
      <c r="AC45" s="173"/>
      <c r="AD45" s="27" t="s">
        <v>141</v>
      </c>
      <c r="AE45" s="27"/>
      <c r="AF45" s="27"/>
    </row>
    <row r="46" spans="1:35" ht="3" customHeight="1" x14ac:dyDescent="0.4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5" ht="12" customHeight="1" x14ac:dyDescent="0.4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5" ht="12" customHeight="1" x14ac:dyDescent="0.4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 t="s">
        <v>66</v>
      </c>
      <c r="R48" s="27"/>
      <c r="S48" s="162" t="e">
        <f>S38+S42+S45</f>
        <v>#DIV/0!</v>
      </c>
      <c r="T48" s="163"/>
      <c r="U48" s="163"/>
      <c r="V48" s="164"/>
      <c r="W48" s="27" t="s">
        <v>89</v>
      </c>
      <c r="X48" s="27"/>
      <c r="Y48" s="27"/>
      <c r="Z48" s="27"/>
      <c r="AA48" s="27"/>
      <c r="AB48" s="27"/>
      <c r="AC48" s="27"/>
      <c r="AD48" s="27"/>
      <c r="AE48" s="27"/>
      <c r="AF48" s="27"/>
    </row>
    <row r="49" spans="1:34" ht="3" customHeight="1" x14ac:dyDescent="0.4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4" ht="12" customHeight="1" x14ac:dyDescent="0.4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74" t="s">
        <v>86</v>
      </c>
      <c r="U50" s="165">
        <v>240000</v>
      </c>
      <c r="V50" s="165"/>
      <c r="W50" s="165"/>
      <c r="X50" s="27" t="s">
        <v>77</v>
      </c>
      <c r="Y50" s="27"/>
      <c r="Z50" s="27"/>
      <c r="AA50" s="27"/>
      <c r="AB50" s="27"/>
      <c r="AC50" s="27"/>
      <c r="AD50" s="27"/>
      <c r="AE50" s="27"/>
      <c r="AF50" s="27"/>
    </row>
    <row r="51" spans="1:34" ht="12" customHeight="1" x14ac:dyDescent="0.4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166" t="e">
        <f>IF(S48&lt;=U50,S48,U50)</f>
        <v>#DIV/0!</v>
      </c>
      <c r="T51" s="167"/>
      <c r="U51" s="167"/>
      <c r="V51" s="168"/>
      <c r="W51" s="27" t="s">
        <v>77</v>
      </c>
      <c r="X51" s="27" t="s">
        <v>87</v>
      </c>
      <c r="Y51" s="27"/>
      <c r="Z51" s="166" t="e">
        <f>ROUNDDOWN(S51,-2)</f>
        <v>#DIV/0!</v>
      </c>
      <c r="AA51" s="167"/>
      <c r="AB51" s="167"/>
      <c r="AC51" s="168"/>
      <c r="AD51" s="27" t="s">
        <v>77</v>
      </c>
      <c r="AE51" s="27"/>
      <c r="AF51" s="27"/>
    </row>
    <row r="52" spans="1:34" x14ac:dyDescent="0.4">
      <c r="A52" s="160" t="s">
        <v>90</v>
      </c>
      <c r="B52" s="160"/>
      <c r="C52" s="160"/>
      <c r="D52" s="44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4" ht="3" customHeight="1" x14ac:dyDescent="0.4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4" ht="12" customHeight="1" x14ac:dyDescent="0.4">
      <c r="A54" s="27"/>
      <c r="B54" s="27"/>
      <c r="C54" s="44" t="s">
        <v>71</v>
      </c>
      <c r="D54" s="27"/>
      <c r="E54" s="27"/>
      <c r="F54" s="27"/>
      <c r="G54" s="27"/>
      <c r="H54" s="27"/>
      <c r="I54" s="44" t="s">
        <v>72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4" ht="12" customHeight="1" x14ac:dyDescent="0.4">
      <c r="A55" s="155" t="s">
        <v>73</v>
      </c>
      <c r="B55" s="156"/>
      <c r="C55" s="154">
        <f>IF(O16=0,0,K11-K12+AK27)</f>
        <v>0</v>
      </c>
      <c r="D55" s="154"/>
      <c r="E55" s="154"/>
      <c r="F55" s="154"/>
      <c r="G55" s="27" t="s">
        <v>74</v>
      </c>
      <c r="H55" s="27"/>
      <c r="I55" s="154">
        <f>IF(O5&gt;0,AF5,0)+IF(O6&gt;0,AF6,0)+IF(O7&gt;0,AF7,0)+IF(O8&gt;0,AF8,0)+IF(O9&gt;0,AF9,0)+IF(O10&gt;0,AF10,0)</f>
        <v>0</v>
      </c>
      <c r="J55" s="154"/>
      <c r="K55" s="154"/>
      <c r="L55" s="154"/>
      <c r="M55" s="27" t="s">
        <v>75</v>
      </c>
      <c r="N55" s="27"/>
      <c r="O55" s="161">
        <f>BV12</f>
        <v>1.75</v>
      </c>
      <c r="P55" s="161"/>
      <c r="Q55" s="27" t="s">
        <v>76</v>
      </c>
      <c r="R55" s="27"/>
      <c r="S55" s="154">
        <f>IF(AE55&lt;0,0,AE55)</f>
        <v>0</v>
      </c>
      <c r="T55" s="154"/>
      <c r="U55" s="154"/>
      <c r="V55" s="154"/>
      <c r="W55" s="27" t="s">
        <v>77</v>
      </c>
      <c r="X55" s="27"/>
      <c r="Y55" s="27"/>
      <c r="Z55" s="27"/>
      <c r="AA55" s="172">
        <f>SUM(BQ4:BQ9)</f>
        <v>0</v>
      </c>
      <c r="AB55" s="173"/>
      <c r="AC55" s="173"/>
      <c r="AD55" s="27" t="s">
        <v>141</v>
      </c>
      <c r="AE55" s="154">
        <f>ROUNDDOWN(IF($C$55&lt;=$I$55,0,($C$55-$I$55)*($O$55/100)),0)-$AA$55</f>
        <v>0</v>
      </c>
      <c r="AF55" s="154"/>
      <c r="AG55" s="154"/>
      <c r="AH55" s="154"/>
    </row>
    <row r="56" spans="1:34" ht="3" customHeight="1" x14ac:dyDescent="0.4">
      <c r="A56" s="64"/>
      <c r="B56" s="6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59"/>
      <c r="AD56" s="27"/>
      <c r="AE56" s="27"/>
      <c r="AF56" s="27"/>
    </row>
    <row r="57" spans="1:34" ht="3" customHeight="1" x14ac:dyDescent="0.4">
      <c r="A57" s="64"/>
      <c r="B57" s="64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4" ht="12" customHeight="1" x14ac:dyDescent="0.4">
      <c r="A58" s="64"/>
      <c r="B58" s="64"/>
      <c r="C58" s="27"/>
      <c r="D58" s="27"/>
      <c r="E58" s="27"/>
      <c r="F58" s="27"/>
      <c r="G58" s="27"/>
      <c r="H58" s="27"/>
      <c r="I58" s="27"/>
      <c r="J58" s="44" t="s">
        <v>78</v>
      </c>
      <c r="K58" s="27"/>
      <c r="L58" s="27"/>
      <c r="M58" s="27"/>
      <c r="N58" s="44" t="s">
        <v>79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4" ht="12" customHeight="1" x14ac:dyDescent="0.4">
      <c r="A59" s="155" t="s">
        <v>80</v>
      </c>
      <c r="B59" s="156"/>
      <c r="C59" s="27"/>
      <c r="D59" s="27"/>
      <c r="E59" s="27"/>
      <c r="F59" s="27"/>
      <c r="G59" s="27"/>
      <c r="H59" s="27"/>
      <c r="I59" s="27"/>
      <c r="J59" s="157">
        <f>O16</f>
        <v>0</v>
      </c>
      <c r="K59" s="157"/>
      <c r="L59" s="27" t="s">
        <v>81</v>
      </c>
      <c r="M59" s="27"/>
      <c r="N59" s="158">
        <f>BV10</f>
        <v>9500</v>
      </c>
      <c r="O59" s="158"/>
      <c r="P59" s="158"/>
      <c r="Q59" s="27" t="s">
        <v>82</v>
      </c>
      <c r="R59" s="27"/>
      <c r="S59" s="154">
        <f>IF(O16&lt;=0,0,J59*N59*VLOOKUP($M$70,$AV$3:$AW$6,2,TRUE)-AA59)</f>
        <v>0</v>
      </c>
      <c r="T59" s="154"/>
      <c r="U59" s="154"/>
      <c r="V59" s="154"/>
      <c r="W59" s="27" t="s">
        <v>77</v>
      </c>
      <c r="X59" s="70" t="s">
        <v>83</v>
      </c>
      <c r="Y59" s="27"/>
      <c r="Z59" s="27"/>
      <c r="AA59" s="172">
        <f>SUM($BW$4:$BW$9)</f>
        <v>0</v>
      </c>
      <c r="AB59" s="173"/>
      <c r="AC59" s="173"/>
      <c r="AD59" s="27" t="s">
        <v>141</v>
      </c>
      <c r="AE59" s="27"/>
      <c r="AF59" s="27"/>
    </row>
    <row r="60" spans="1:34" ht="3" customHeight="1" x14ac:dyDescent="0.4">
      <c r="A60" s="64"/>
      <c r="B60" s="6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30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4" ht="12" customHeight="1" x14ac:dyDescent="0.4">
      <c r="A61" s="64"/>
      <c r="B61" s="64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44" t="s">
        <v>84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4" ht="12" customHeight="1" x14ac:dyDescent="0.4">
      <c r="A62" s="155" t="s">
        <v>85</v>
      </c>
      <c r="B62" s="15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158">
        <f>BV11</f>
        <v>7000</v>
      </c>
      <c r="O62" s="158"/>
      <c r="P62" s="158"/>
      <c r="Q62" s="27" t="s">
        <v>82</v>
      </c>
      <c r="R62" s="27"/>
      <c r="S62" s="157">
        <f>IF(O16&lt;=0,0,N62*VLOOKUP($M$70,$AV$3:$AW$6,2,TRUE))*BJ14/12</f>
        <v>0</v>
      </c>
      <c r="T62" s="157"/>
      <c r="U62" s="157"/>
      <c r="V62" s="157"/>
      <c r="W62" s="27" t="s">
        <v>77</v>
      </c>
      <c r="X62" s="70" t="s">
        <v>83</v>
      </c>
      <c r="Y62" s="27"/>
      <c r="Z62" s="27"/>
      <c r="AA62" s="172">
        <f>IF(S62=0,0,N62-S62)</f>
        <v>0</v>
      </c>
      <c r="AB62" s="173"/>
      <c r="AC62" s="173"/>
      <c r="AD62" s="27" t="s">
        <v>141</v>
      </c>
      <c r="AE62" s="27"/>
      <c r="AF62" s="27"/>
    </row>
    <row r="63" spans="1:34" ht="3" customHeight="1" x14ac:dyDescent="0.4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4" ht="12" customHeight="1" x14ac:dyDescent="0.4">
      <c r="A64" s="27"/>
      <c r="B64" s="27"/>
      <c r="C64" s="27"/>
      <c r="D64" s="27"/>
      <c r="E64" s="27"/>
      <c r="F64" s="27"/>
      <c r="G64" s="27"/>
      <c r="H64" s="30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4" ht="12" customHeight="1" x14ac:dyDescent="0.4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27"/>
      <c r="M65" s="27"/>
      <c r="N65" s="27"/>
      <c r="O65" s="27"/>
      <c r="P65" s="27"/>
      <c r="Q65" s="27" t="s">
        <v>66</v>
      </c>
      <c r="R65" s="27"/>
      <c r="S65" s="162">
        <f>S55+S59+S62</f>
        <v>0</v>
      </c>
      <c r="T65" s="163"/>
      <c r="U65" s="163"/>
      <c r="V65" s="164"/>
      <c r="W65" s="27" t="s">
        <v>77</v>
      </c>
      <c r="X65" s="27"/>
      <c r="Y65" s="27"/>
      <c r="Z65" s="27"/>
      <c r="AA65" s="27"/>
      <c r="AB65" s="27"/>
      <c r="AC65" s="27"/>
      <c r="AD65" s="27"/>
      <c r="AE65" s="27"/>
      <c r="AF65" s="27"/>
    </row>
    <row r="66" spans="1:34" ht="3" customHeight="1" x14ac:dyDescent="0.4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4" ht="12" customHeight="1" x14ac:dyDescent="0.4">
      <c r="A67" s="30"/>
      <c r="B67" s="30"/>
      <c r="C67" s="30"/>
      <c r="D67" s="30"/>
      <c r="E67" s="30"/>
      <c r="F67" s="75"/>
      <c r="G67" s="174"/>
      <c r="H67" s="175"/>
      <c r="I67" s="175"/>
      <c r="J67" s="175"/>
      <c r="K67" s="30"/>
      <c r="L67" s="27"/>
      <c r="M67" s="27"/>
      <c r="N67" s="27"/>
      <c r="O67" s="27"/>
      <c r="P67" s="27"/>
      <c r="Q67" s="27"/>
      <c r="R67" s="27"/>
      <c r="S67" s="27"/>
      <c r="T67" s="74" t="s">
        <v>86</v>
      </c>
      <c r="U67" s="165">
        <v>170000</v>
      </c>
      <c r="V67" s="165"/>
      <c r="W67" s="165"/>
      <c r="X67" s="27" t="s">
        <v>77</v>
      </c>
      <c r="Y67" s="27"/>
      <c r="Z67" s="27"/>
      <c r="AA67" s="27"/>
      <c r="AB67" s="27"/>
      <c r="AC67" s="27"/>
      <c r="AD67" s="27"/>
      <c r="AE67" s="27"/>
      <c r="AF67" s="27"/>
    </row>
    <row r="68" spans="1:34" ht="12" customHeight="1" x14ac:dyDescent="0.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27"/>
      <c r="M68" s="27"/>
      <c r="N68" s="27"/>
      <c r="O68" s="27"/>
      <c r="P68" s="27"/>
      <c r="Q68" s="27"/>
      <c r="R68" s="27"/>
      <c r="S68" s="166">
        <f>IF(S65&lt;=U67,S65,U67)</f>
        <v>0</v>
      </c>
      <c r="T68" s="167"/>
      <c r="U68" s="167"/>
      <c r="V68" s="168"/>
      <c r="W68" s="27" t="s">
        <v>77</v>
      </c>
      <c r="X68" s="27" t="s">
        <v>87</v>
      </c>
      <c r="Y68" s="27"/>
      <c r="Z68" s="166">
        <f>ROUNDDOWN(S68,-2)</f>
        <v>0</v>
      </c>
      <c r="AA68" s="167"/>
      <c r="AB68" s="167"/>
      <c r="AC68" s="168"/>
      <c r="AD68" s="27" t="s">
        <v>77</v>
      </c>
      <c r="AE68" s="27"/>
      <c r="AF68" s="27"/>
    </row>
    <row r="69" spans="1:34" ht="12" customHeight="1" x14ac:dyDescent="0.4">
      <c r="A69" s="30"/>
      <c r="B69" s="30"/>
      <c r="C69" s="30"/>
      <c r="D69" s="30"/>
      <c r="E69" s="30"/>
      <c r="F69" s="75"/>
      <c r="G69" s="174"/>
      <c r="H69" s="175"/>
      <c r="I69" s="175"/>
      <c r="J69" s="175"/>
      <c r="K69" s="30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4" ht="12" customHeight="1" thickBot="1" x14ac:dyDescent="0.4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27"/>
      <c r="M70" s="76">
        <f>VLOOKUP($AS$10,$AS$3:$AV$6,4,TRUE)</f>
        <v>7</v>
      </c>
      <c r="N70" s="27" t="s">
        <v>95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44" t="s">
        <v>96</v>
      </c>
      <c r="AA70" s="27"/>
      <c r="AB70" s="27"/>
      <c r="AC70" s="27"/>
      <c r="AD70" s="27"/>
      <c r="AE70" s="27"/>
      <c r="AF70" s="27"/>
    </row>
    <row r="71" spans="1:34" ht="12" customHeight="1" thickBot="1" x14ac:dyDescent="0.45">
      <c r="A71" s="30"/>
      <c r="B71" s="30"/>
      <c r="C71" s="30"/>
      <c r="D71" s="30"/>
      <c r="E71" s="30"/>
      <c r="F71" s="75"/>
      <c r="G71" s="174"/>
      <c r="H71" s="175"/>
      <c r="I71" s="175"/>
      <c r="J71" s="175"/>
      <c r="K71" s="30"/>
      <c r="L71" s="27"/>
      <c r="M71" s="27"/>
      <c r="N71" s="27"/>
      <c r="O71" s="27"/>
      <c r="P71" s="27"/>
      <c r="Q71" s="27"/>
      <c r="R71" s="27"/>
      <c r="S71" s="205" t="e">
        <f>S34+S51+S68</f>
        <v>#DIV/0!</v>
      </c>
      <c r="T71" s="205"/>
      <c r="U71" s="205"/>
      <c r="V71" s="205"/>
      <c r="W71" s="27"/>
      <c r="X71" s="27" t="s">
        <v>66</v>
      </c>
      <c r="Y71" s="27"/>
      <c r="Z71" s="110" t="e">
        <f>Z34+Z51+Z68</f>
        <v>#DIV/0!</v>
      </c>
      <c r="AA71" s="111"/>
      <c r="AB71" s="111"/>
      <c r="AC71" s="112"/>
      <c r="AD71" s="27" t="s">
        <v>77</v>
      </c>
      <c r="AE71" s="30"/>
      <c r="AF71" s="30"/>
    </row>
    <row r="72" spans="1:34" ht="3" customHeight="1" x14ac:dyDescent="0.4">
      <c r="A72" s="30"/>
      <c r="B72" s="30"/>
      <c r="C72" s="30"/>
      <c r="D72" s="30"/>
      <c r="E72" s="30"/>
      <c r="F72" s="30"/>
      <c r="G72" s="63"/>
      <c r="H72" s="59"/>
      <c r="I72" s="59"/>
      <c r="J72" s="59"/>
      <c r="K72" s="30"/>
      <c r="L72" s="27"/>
      <c r="M72" s="27"/>
      <c r="N72" s="27"/>
      <c r="O72" s="27"/>
      <c r="P72" s="27"/>
      <c r="Q72" s="27"/>
      <c r="R72" s="77"/>
      <c r="S72" s="77"/>
      <c r="T72" s="77"/>
      <c r="U72" s="77"/>
      <c r="V72" s="27"/>
      <c r="W72" s="27"/>
      <c r="X72" s="27"/>
      <c r="Y72" s="45"/>
      <c r="Z72" s="45"/>
      <c r="AA72" s="45"/>
      <c r="AB72" s="45"/>
      <c r="AC72" s="27"/>
      <c r="AD72" s="27"/>
      <c r="AE72" s="30"/>
      <c r="AF72" s="30"/>
    </row>
    <row r="73" spans="1:34" ht="6" customHeight="1" x14ac:dyDescent="0.4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30"/>
      <c r="AF73" s="30"/>
      <c r="AG73" s="71"/>
    </row>
    <row r="74" spans="1:34" ht="6" customHeight="1" thickBot="1" x14ac:dyDescent="0.4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0"/>
      <c r="AF74" s="30"/>
    </row>
    <row r="75" spans="1:34" ht="12" customHeight="1" thickBot="1" x14ac:dyDescent="0.45">
      <c r="A75" s="30"/>
      <c r="B75" s="30" t="s">
        <v>150</v>
      </c>
      <c r="C75" s="30"/>
      <c r="D75" s="30"/>
      <c r="E75" s="30"/>
      <c r="F75" s="30"/>
      <c r="G75" s="30"/>
      <c r="H75" s="30"/>
      <c r="I75" s="30"/>
      <c r="J75" s="30"/>
      <c r="K75" s="30" t="s">
        <v>151</v>
      </c>
      <c r="L75" s="26">
        <v>4</v>
      </c>
      <c r="M75" s="30" t="s">
        <v>152</v>
      </c>
      <c r="N75" s="30"/>
      <c r="O75" s="30"/>
      <c r="P75" s="30"/>
      <c r="Q75" s="30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0"/>
      <c r="AF75" s="30"/>
    </row>
    <row r="76" spans="1:34" ht="12" customHeight="1" thickBot="1" x14ac:dyDescent="0.4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 t="s">
        <v>98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 t="s">
        <v>99</v>
      </c>
      <c r="Z76" s="27"/>
      <c r="AA76" s="27"/>
      <c r="AB76" s="27"/>
      <c r="AC76" s="27"/>
      <c r="AD76" s="27"/>
      <c r="AE76" s="30"/>
      <c r="AF76" s="30"/>
    </row>
    <row r="77" spans="1:34" ht="12" customHeight="1" thickBot="1" x14ac:dyDescent="0.45">
      <c r="A77" s="27"/>
      <c r="B77" s="27"/>
      <c r="C77" s="162" t="e">
        <f>Z71</f>
        <v>#DIV/0!</v>
      </c>
      <c r="D77" s="206"/>
      <c r="E77" s="206"/>
      <c r="F77" s="207"/>
      <c r="G77" s="27" t="s">
        <v>43</v>
      </c>
      <c r="H77" s="78">
        <f>VLOOKUP(L75,AF80:AG91,2)</f>
        <v>12</v>
      </c>
      <c r="I77" s="27" t="s">
        <v>100</v>
      </c>
      <c r="J77" s="27"/>
      <c r="K77" s="27"/>
      <c r="L77" s="27"/>
      <c r="M77" s="27"/>
      <c r="N77" s="208" t="e">
        <f>ROUNDDOWN(C77/12*H77,-2)</f>
        <v>#DIV/0!</v>
      </c>
      <c r="O77" s="209"/>
      <c r="P77" s="209"/>
      <c r="Q77" s="210"/>
      <c r="R77" s="27" t="s">
        <v>77</v>
      </c>
      <c r="S77" s="27"/>
      <c r="T77" s="27"/>
      <c r="U77" s="27"/>
      <c r="V77" s="27"/>
      <c r="W77" s="27"/>
      <c r="X77" s="79" t="s">
        <v>101</v>
      </c>
      <c r="Y77" s="208" t="e">
        <f>ROUNDDOWN(C77/12,-2)</f>
        <v>#DIV/0!</v>
      </c>
      <c r="Z77" s="209"/>
      <c r="AA77" s="209"/>
      <c r="AB77" s="210"/>
      <c r="AC77" s="27" t="s">
        <v>77</v>
      </c>
      <c r="AD77" s="27"/>
      <c r="AE77" s="30"/>
      <c r="AF77" s="30"/>
    </row>
    <row r="78" spans="1:34" ht="6" customHeight="1" x14ac:dyDescent="0.4">
      <c r="A78" s="29"/>
      <c r="B78" s="29"/>
      <c r="C78" s="80"/>
      <c r="D78" s="81"/>
      <c r="E78" s="81"/>
      <c r="F78" s="81"/>
      <c r="G78" s="29"/>
      <c r="H78" s="81" t="s">
        <v>102</v>
      </c>
      <c r="I78" s="29"/>
      <c r="J78" s="29"/>
      <c r="K78" s="29"/>
      <c r="L78" s="29"/>
      <c r="M78" s="29"/>
      <c r="N78" s="80"/>
      <c r="O78" s="81"/>
      <c r="P78" s="81"/>
      <c r="Q78" s="81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30"/>
      <c r="AF78" s="30"/>
    </row>
    <row r="79" spans="1:34" ht="6" customHeight="1" x14ac:dyDescent="0.4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0"/>
      <c r="AF79" s="30"/>
    </row>
    <row r="80" spans="1:34" ht="12" customHeight="1" x14ac:dyDescent="0.15">
      <c r="A80" s="82" t="str">
        <f>IF(F80&gt;0,"仮算定がある場合","")</f>
        <v/>
      </c>
      <c r="B80" s="27"/>
      <c r="C80" s="27"/>
      <c r="D80" s="27"/>
      <c r="E80" s="83" t="s">
        <v>103</v>
      </c>
      <c r="F80" s="190"/>
      <c r="G80" s="191"/>
      <c r="H80" s="191"/>
      <c r="I80" s="191"/>
      <c r="J80" s="192"/>
      <c r="K80" s="84" t="s">
        <v>104</v>
      </c>
      <c r="L80" s="190"/>
      <c r="M80" s="191"/>
      <c r="N80" s="191"/>
      <c r="O80" s="191"/>
      <c r="P80" s="192"/>
      <c r="Q80" s="27"/>
      <c r="R80" s="27"/>
      <c r="S80" s="85" t="s">
        <v>105</v>
      </c>
      <c r="T80" s="193" t="s">
        <v>106</v>
      </c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30"/>
      <c r="AF80" s="86">
        <v>1</v>
      </c>
      <c r="AG80" s="36">
        <v>3</v>
      </c>
      <c r="AH80" s="87"/>
    </row>
    <row r="81" spans="1:34" ht="12" customHeight="1" x14ac:dyDescent="0.15">
      <c r="A81" s="27" t="s">
        <v>107</v>
      </c>
      <c r="B81" s="27"/>
      <c r="C81" s="27"/>
      <c r="D81" s="27"/>
      <c r="E81" s="88" t="s">
        <v>108</v>
      </c>
      <c r="F81" s="194" t="s">
        <v>109</v>
      </c>
      <c r="G81" s="194"/>
      <c r="H81" s="195"/>
      <c r="I81" s="196" t="s">
        <v>110</v>
      </c>
      <c r="J81" s="197"/>
      <c r="K81" s="197"/>
      <c r="L81" s="197"/>
      <c r="M81" s="198"/>
      <c r="N81" s="199"/>
      <c r="O81" s="126"/>
      <c r="P81" s="127"/>
      <c r="Q81" s="27"/>
      <c r="R81" s="27"/>
      <c r="S81" s="89" t="s">
        <v>108</v>
      </c>
      <c r="T81" s="200" t="s">
        <v>109</v>
      </c>
      <c r="U81" s="200"/>
      <c r="V81" s="201"/>
      <c r="W81" s="202" t="s">
        <v>110</v>
      </c>
      <c r="X81" s="203"/>
      <c r="Y81" s="203"/>
      <c r="Z81" s="203"/>
      <c r="AA81" s="204"/>
      <c r="AB81" s="29"/>
      <c r="AC81" s="29"/>
      <c r="AD81" s="29"/>
      <c r="AE81" s="30"/>
      <c r="AF81" s="86">
        <v>2</v>
      </c>
      <c r="AG81" s="36">
        <v>2</v>
      </c>
      <c r="AH81" s="87"/>
    </row>
    <row r="82" spans="1:34" ht="12" customHeight="1" x14ac:dyDescent="0.15">
      <c r="A82" s="27"/>
      <c r="B82" s="27"/>
      <c r="C82" s="27"/>
      <c r="D82" s="27"/>
      <c r="E82" s="88">
        <v>8</v>
      </c>
      <c r="F82" s="176" t="e">
        <f>($N$77-$F$80-$L$80)-(I82*(E82-1))</f>
        <v>#DIV/0!</v>
      </c>
      <c r="G82" s="177"/>
      <c r="H82" s="178"/>
      <c r="I82" s="179" t="e">
        <f>ROUNDDOWN(($N$77-$F$80-$L$80)/E82,-2)</f>
        <v>#DIV/0!</v>
      </c>
      <c r="J82" s="177"/>
      <c r="K82" s="177"/>
      <c r="L82" s="90" t="s">
        <v>111</v>
      </c>
      <c r="M82" s="91"/>
      <c r="N82" s="92" t="s">
        <v>112</v>
      </c>
      <c r="O82" s="93"/>
      <c r="P82" s="94"/>
      <c r="Q82" s="27"/>
      <c r="R82" s="27"/>
      <c r="S82" s="95">
        <v>4</v>
      </c>
      <c r="T82" s="176" t="e">
        <f>($N$77-$F$80-$L$80)-(W82*(S82-1))</f>
        <v>#DIV/0!</v>
      </c>
      <c r="U82" s="177"/>
      <c r="V82" s="178"/>
      <c r="W82" s="179" t="e">
        <f>ROUNDDOWN(($N$77-$F$80-$L$80)/S82,-2)</f>
        <v>#DIV/0!</v>
      </c>
      <c r="X82" s="177"/>
      <c r="Y82" s="177"/>
      <c r="Z82" s="90" t="s">
        <v>113</v>
      </c>
      <c r="AA82" s="91"/>
      <c r="AB82" s="96" t="s">
        <v>114</v>
      </c>
      <c r="AC82" s="93"/>
      <c r="AD82" s="94"/>
      <c r="AE82" s="27"/>
      <c r="AF82" s="86">
        <v>3</v>
      </c>
      <c r="AG82" s="36">
        <v>1</v>
      </c>
      <c r="AH82" s="87"/>
    </row>
    <row r="83" spans="1:34" ht="12" customHeight="1" x14ac:dyDescent="0.15">
      <c r="A83" s="27"/>
      <c r="B83" s="27"/>
      <c r="C83" s="27"/>
      <c r="D83" s="27"/>
      <c r="E83" s="88">
        <v>7</v>
      </c>
      <c r="F83" s="176" t="e">
        <f>($N$77-$F$80-$L$80)-(I83*(E83-1))</f>
        <v>#DIV/0!</v>
      </c>
      <c r="G83" s="177"/>
      <c r="H83" s="178"/>
      <c r="I83" s="179" t="e">
        <f>ROUNDDOWN(($N$77-$F$80-$L$80)/E83,-2)</f>
        <v>#DIV/0!</v>
      </c>
      <c r="J83" s="177"/>
      <c r="K83" s="177"/>
      <c r="L83" s="90" t="s">
        <v>115</v>
      </c>
      <c r="M83" s="91"/>
      <c r="N83" s="92" t="s">
        <v>116</v>
      </c>
      <c r="O83" s="93"/>
      <c r="P83" s="94"/>
      <c r="Q83" s="27"/>
      <c r="R83" s="27"/>
      <c r="S83" s="95">
        <v>3</v>
      </c>
      <c r="T83" s="176" t="e">
        <f>($N$77-$F$80-$L$80)-(W83*(S83-1))</f>
        <v>#DIV/0!</v>
      </c>
      <c r="U83" s="177"/>
      <c r="V83" s="178"/>
      <c r="W83" s="179" t="e">
        <f>ROUNDDOWN(($N$77-$F$80-$L$80)/S83,-2)</f>
        <v>#DIV/0!</v>
      </c>
      <c r="X83" s="177"/>
      <c r="Y83" s="177"/>
      <c r="Z83" s="90" t="s">
        <v>117</v>
      </c>
      <c r="AA83" s="91"/>
      <c r="AB83" s="96" t="s">
        <v>118</v>
      </c>
      <c r="AC83" s="93"/>
      <c r="AD83" s="94"/>
      <c r="AE83" s="27"/>
      <c r="AF83" s="86">
        <v>4</v>
      </c>
      <c r="AG83" s="36">
        <v>12</v>
      </c>
      <c r="AH83" s="87"/>
    </row>
    <row r="84" spans="1:34" ht="12" customHeight="1" x14ac:dyDescent="0.15">
      <c r="A84" s="27"/>
      <c r="B84" s="27"/>
      <c r="C84" s="27"/>
      <c r="D84" s="27"/>
      <c r="E84" s="88">
        <v>6</v>
      </c>
      <c r="F84" s="176" t="e">
        <f>($N$77-$F$80-$L$80)-(I84*(E84-1))</f>
        <v>#DIV/0!</v>
      </c>
      <c r="G84" s="177"/>
      <c r="H84" s="178"/>
      <c r="I84" s="179" t="e">
        <f>ROUNDDOWN(($N$77-$F$80-$L$80)/E84,-2)</f>
        <v>#DIV/0!</v>
      </c>
      <c r="J84" s="177"/>
      <c r="K84" s="177"/>
      <c r="L84" s="90" t="s">
        <v>119</v>
      </c>
      <c r="M84" s="91"/>
      <c r="N84" s="92" t="s">
        <v>120</v>
      </c>
      <c r="O84" s="93"/>
      <c r="P84" s="94"/>
      <c r="Q84" s="27"/>
      <c r="R84" s="27"/>
      <c r="S84" s="95">
        <v>2</v>
      </c>
      <c r="T84" s="176" t="e">
        <f>($N$77-$F$80-$L$80)-(W84*(S84-1))</f>
        <v>#DIV/0!</v>
      </c>
      <c r="U84" s="177"/>
      <c r="V84" s="178"/>
      <c r="W84" s="179" t="e">
        <f>ROUNDDOWN(($N$77-$F$80-$L$80)/S84,-2)</f>
        <v>#DIV/0!</v>
      </c>
      <c r="X84" s="177"/>
      <c r="Y84" s="177"/>
      <c r="Z84" s="90" t="s">
        <v>121</v>
      </c>
      <c r="AA84" s="91"/>
      <c r="AB84" s="96" t="s">
        <v>122</v>
      </c>
      <c r="AC84" s="93"/>
      <c r="AD84" s="94"/>
      <c r="AE84" s="27"/>
      <c r="AF84" s="86">
        <v>5</v>
      </c>
      <c r="AG84" s="36">
        <v>11</v>
      </c>
      <c r="AH84" s="87"/>
    </row>
    <row r="85" spans="1:34" ht="12" customHeight="1" x14ac:dyDescent="0.15">
      <c r="A85" s="27"/>
      <c r="B85" s="27"/>
      <c r="C85" s="27"/>
      <c r="D85" s="27"/>
      <c r="E85" s="88">
        <v>5</v>
      </c>
      <c r="F85" s="176" t="e">
        <f>($N$77-$F$80-$L$80)-(I85*(E85-1))</f>
        <v>#DIV/0!</v>
      </c>
      <c r="G85" s="177"/>
      <c r="H85" s="178"/>
      <c r="I85" s="179" t="e">
        <f>ROUNDDOWN(($N$77-$F$80-$L$80)/E85,-2)</f>
        <v>#DIV/0!</v>
      </c>
      <c r="J85" s="177"/>
      <c r="K85" s="177"/>
      <c r="L85" s="90" t="s">
        <v>123</v>
      </c>
      <c r="M85" s="91"/>
      <c r="N85" s="92" t="s">
        <v>124</v>
      </c>
      <c r="O85" s="93"/>
      <c r="P85" s="94"/>
      <c r="Q85" s="27"/>
      <c r="R85" s="27"/>
      <c r="S85" s="95">
        <v>1</v>
      </c>
      <c r="T85" s="176" t="e">
        <f>($N$77-$F$80-$L$80)-(W85*(S85-1))</f>
        <v>#DIV/0!</v>
      </c>
      <c r="U85" s="177"/>
      <c r="V85" s="178"/>
      <c r="W85" s="180"/>
      <c r="X85" s="181"/>
      <c r="Y85" s="181"/>
      <c r="Z85" s="96" t="s">
        <v>125</v>
      </c>
      <c r="AA85" s="93"/>
      <c r="AB85" s="93"/>
      <c r="AC85" s="93"/>
      <c r="AD85" s="94"/>
      <c r="AF85" s="86">
        <v>6</v>
      </c>
      <c r="AG85" s="36">
        <v>10</v>
      </c>
      <c r="AH85" s="87"/>
    </row>
    <row r="86" spans="1:34" hidden="1" x14ac:dyDescent="0.4">
      <c r="AF86" s="86">
        <v>7</v>
      </c>
      <c r="AG86" s="36">
        <v>9</v>
      </c>
      <c r="AH86" s="97"/>
    </row>
    <row r="87" spans="1:34" hidden="1" x14ac:dyDescent="0.4">
      <c r="AF87" s="86">
        <v>8</v>
      </c>
      <c r="AG87" s="36">
        <v>8</v>
      </c>
    </row>
    <row r="88" spans="1:34" hidden="1" x14ac:dyDescent="0.4">
      <c r="AF88" s="36">
        <v>9</v>
      </c>
      <c r="AG88" s="36">
        <v>7</v>
      </c>
    </row>
    <row r="89" spans="1:34" hidden="1" x14ac:dyDescent="0.4">
      <c r="AF89" s="36">
        <v>10</v>
      </c>
      <c r="AG89" s="36">
        <v>6</v>
      </c>
    </row>
    <row r="90" spans="1:34" hidden="1" x14ac:dyDescent="0.4">
      <c r="A90" s="98" t="s">
        <v>92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AF90" s="36">
        <v>11</v>
      </c>
      <c r="AG90" s="36">
        <v>5</v>
      </c>
    </row>
    <row r="91" spans="1:34" ht="12.75" hidden="1" thickBot="1" x14ac:dyDescent="0.45">
      <c r="A91" s="33">
        <v>0</v>
      </c>
      <c r="B91" s="99"/>
      <c r="C91" s="99"/>
      <c r="D91" s="99"/>
      <c r="E91" s="99"/>
      <c r="F91" s="99"/>
      <c r="G91" s="110" t="e">
        <f>$Z$34+$Z$51+$Z$68</f>
        <v>#DIV/0!</v>
      </c>
      <c r="H91" s="111"/>
      <c r="I91" s="111"/>
      <c r="J91" s="112"/>
      <c r="K91" s="100"/>
      <c r="AF91" s="36">
        <v>12</v>
      </c>
      <c r="AG91" s="36">
        <v>4</v>
      </c>
    </row>
    <row r="92" spans="1:34" ht="12.75" hidden="1" thickBot="1" x14ac:dyDescent="0.45">
      <c r="A92" s="33">
        <v>2</v>
      </c>
      <c r="B92" s="98"/>
      <c r="C92" s="98"/>
      <c r="D92" s="98"/>
      <c r="E92" s="98"/>
      <c r="F92" s="101" t="s">
        <v>93</v>
      </c>
      <c r="G92" s="107" t="e">
        <f>ROUNDDOWN($S$21+($S$25*0.8)+($S$28*0.8),-2)+ROUNDDOWN($S$38+($S$42*0.8)+($S$45*0.8),-2)+ROUNDDOWN($S$55+($S$59*0.8)+($S$62*0.8),-2)</f>
        <v>#DIV/0!</v>
      </c>
      <c r="H92" s="108"/>
      <c r="I92" s="108"/>
      <c r="J92" s="109"/>
      <c r="K92" s="102"/>
    </row>
    <row r="93" spans="1:34" ht="12.75" hidden="1" thickBot="1" x14ac:dyDescent="0.45">
      <c r="A93" s="33">
        <v>5</v>
      </c>
      <c r="B93" s="98"/>
      <c r="C93" s="98"/>
      <c r="D93" s="98"/>
      <c r="E93" s="98"/>
      <c r="F93" s="101" t="s">
        <v>94</v>
      </c>
      <c r="G93" s="107" t="e">
        <f>ROUNDDOWN($S$21+($S$25*0.5)+($S$28*0.5),-2)+ROUNDDOWN($S$38+($S$42*0.5)+($S$45*0.5),-2)+ROUNDDOWN($S$55+($S$59*0.5)+($S$62*0.5),-2)</f>
        <v>#DIV/0!</v>
      </c>
      <c r="H93" s="108"/>
      <c r="I93" s="108"/>
      <c r="J93" s="109"/>
      <c r="K93" s="102"/>
    </row>
    <row r="94" spans="1:34" ht="12.75" hidden="1" thickBot="1" x14ac:dyDescent="0.45">
      <c r="A94" s="33">
        <v>7</v>
      </c>
      <c r="B94" s="98"/>
      <c r="C94" s="98"/>
      <c r="D94" s="98"/>
      <c r="E94" s="98"/>
      <c r="F94" s="101" t="s">
        <v>97</v>
      </c>
      <c r="G94" s="107" t="e">
        <f>ROUNDDOWN($S$21+($S$25*0.3)+($S$28*0.3),-2)+ROUNDDOWN($S$38+($S$42*0.3)+($S$45*0.3),-2)+ROUNDDOWN($S$55+($S$59*0.3)+($S$62*0.3),-2)</f>
        <v>#DIV/0!</v>
      </c>
      <c r="H94" s="108"/>
      <c r="I94" s="108"/>
      <c r="J94" s="109"/>
      <c r="K94" s="102"/>
    </row>
  </sheetData>
  <sheetProtection algorithmName="SHA-512" hashValue="GzHHkelCRL+g6PPnao2mUJimSvq4j3jTxslF2NK3ZxSNkOR3oic70e1cT8W/Fc6WTHcr1yxnmlHiEvpEd+BUbg==" saltValue="mK1I45+lO1JMGbi5tcQThw==" spinCount="100000" sheet="1" objects="1" scenarios="1"/>
  <mergeCells count="140">
    <mergeCell ref="AE55:AH55"/>
    <mergeCell ref="AA21:AC21"/>
    <mergeCell ref="AA25:AC25"/>
    <mergeCell ref="AA28:AC28"/>
    <mergeCell ref="AA38:AC38"/>
    <mergeCell ref="AA42:AC42"/>
    <mergeCell ref="AA45:AC45"/>
    <mergeCell ref="AR7:AS7"/>
    <mergeCell ref="Z34:AC34"/>
    <mergeCell ref="AF20:AI20"/>
    <mergeCell ref="AK27:AN27"/>
    <mergeCell ref="AF25:AI25"/>
    <mergeCell ref="AF42:AI42"/>
    <mergeCell ref="AT7:AW7"/>
    <mergeCell ref="AR8:AS8"/>
    <mergeCell ref="AT8:AW8"/>
    <mergeCell ref="AR9:AS9"/>
    <mergeCell ref="AT9:AW9"/>
    <mergeCell ref="W8:AC9"/>
    <mergeCell ref="F84:H84"/>
    <mergeCell ref="I84:K84"/>
    <mergeCell ref="T84:V84"/>
    <mergeCell ref="W84:Y84"/>
    <mergeCell ref="F80:J80"/>
    <mergeCell ref="L80:P80"/>
    <mergeCell ref="T80:AD80"/>
    <mergeCell ref="F81:H81"/>
    <mergeCell ref="I81:M81"/>
    <mergeCell ref="N81:P81"/>
    <mergeCell ref="T81:V81"/>
    <mergeCell ref="W81:AA81"/>
    <mergeCell ref="G71:J71"/>
    <mergeCell ref="S71:V71"/>
    <mergeCell ref="Z71:AC71"/>
    <mergeCell ref="C77:F77"/>
    <mergeCell ref="N77:Q77"/>
    <mergeCell ref="Y77:AB77"/>
    <mergeCell ref="F85:H85"/>
    <mergeCell ref="I85:K85"/>
    <mergeCell ref="T85:V85"/>
    <mergeCell ref="W85:Y85"/>
    <mergeCell ref="F82:H82"/>
    <mergeCell ref="I82:K82"/>
    <mergeCell ref="T82:V82"/>
    <mergeCell ref="W82:Y82"/>
    <mergeCell ref="F83:H83"/>
    <mergeCell ref="I83:K83"/>
    <mergeCell ref="T83:V83"/>
    <mergeCell ref="W83:Y83"/>
    <mergeCell ref="S65:V65"/>
    <mergeCell ref="G67:J67"/>
    <mergeCell ref="U67:W67"/>
    <mergeCell ref="S68:V68"/>
    <mergeCell ref="Z68:AC68"/>
    <mergeCell ref="G69:J69"/>
    <mergeCell ref="A59:B59"/>
    <mergeCell ref="J59:K59"/>
    <mergeCell ref="N59:P59"/>
    <mergeCell ref="S59:V59"/>
    <mergeCell ref="A62:B62"/>
    <mergeCell ref="N62:P62"/>
    <mergeCell ref="S62:V62"/>
    <mergeCell ref="AA59:AC59"/>
    <mergeCell ref="AA62:AC62"/>
    <mergeCell ref="S48:V48"/>
    <mergeCell ref="U50:W50"/>
    <mergeCell ref="S51:V51"/>
    <mergeCell ref="Z51:AC51"/>
    <mergeCell ref="A52:C52"/>
    <mergeCell ref="A55:B55"/>
    <mergeCell ref="C55:F55"/>
    <mergeCell ref="I55:L55"/>
    <mergeCell ref="O55:P55"/>
    <mergeCell ref="S55:V55"/>
    <mergeCell ref="AA55:AC55"/>
    <mergeCell ref="A42:B42"/>
    <mergeCell ref="J42:K42"/>
    <mergeCell ref="N42:P42"/>
    <mergeCell ref="S42:V42"/>
    <mergeCell ref="A45:B45"/>
    <mergeCell ref="N45:P45"/>
    <mergeCell ref="S45:V45"/>
    <mergeCell ref="S31:V31"/>
    <mergeCell ref="U33:W33"/>
    <mergeCell ref="S34:V34"/>
    <mergeCell ref="A35:C35"/>
    <mergeCell ref="A38:B38"/>
    <mergeCell ref="C38:F38"/>
    <mergeCell ref="I38:L38"/>
    <mergeCell ref="O38:P38"/>
    <mergeCell ref="S38:V38"/>
    <mergeCell ref="S21:V21"/>
    <mergeCell ref="A25:B25"/>
    <mergeCell ref="J25:K25"/>
    <mergeCell ref="N25:P25"/>
    <mergeCell ref="S25:V25"/>
    <mergeCell ref="A28:B28"/>
    <mergeCell ref="N28:P28"/>
    <mergeCell ref="S28:V28"/>
    <mergeCell ref="O16:P16"/>
    <mergeCell ref="A18:C18"/>
    <mergeCell ref="A21:B21"/>
    <mergeCell ref="C21:F21"/>
    <mergeCell ref="I21:L21"/>
    <mergeCell ref="O21:P21"/>
    <mergeCell ref="F7:I7"/>
    <mergeCell ref="K7:N7"/>
    <mergeCell ref="K12:N12"/>
    <mergeCell ref="O14:P14"/>
    <mergeCell ref="Z14:AC14"/>
    <mergeCell ref="A9:D9"/>
    <mergeCell ref="F9:I9"/>
    <mergeCell ref="K9:N9"/>
    <mergeCell ref="A10:D10"/>
    <mergeCell ref="F10:I10"/>
    <mergeCell ref="K10:N10"/>
    <mergeCell ref="G92:J92"/>
    <mergeCell ref="G93:J93"/>
    <mergeCell ref="G94:J94"/>
    <mergeCell ref="G91:J91"/>
    <mergeCell ref="W1:AB1"/>
    <mergeCell ref="AD1:AI1"/>
    <mergeCell ref="A3:E4"/>
    <mergeCell ref="F3:I4"/>
    <mergeCell ref="J3:J4"/>
    <mergeCell ref="K3:O3"/>
    <mergeCell ref="K4:N4"/>
    <mergeCell ref="F11:J11"/>
    <mergeCell ref="K11:N11"/>
    <mergeCell ref="Z11:AC11"/>
    <mergeCell ref="A8:D8"/>
    <mergeCell ref="F8:I8"/>
    <mergeCell ref="K8:N8"/>
    <mergeCell ref="A5:D5"/>
    <mergeCell ref="F5:I5"/>
    <mergeCell ref="K5:N5"/>
    <mergeCell ref="A6:D6"/>
    <mergeCell ref="F6:I6"/>
    <mergeCell ref="K6:N6"/>
    <mergeCell ref="A7:D7"/>
  </mergeCells>
  <phoneticPr fontId="2"/>
  <dataValidations count="2">
    <dataValidation allowBlank="1" showDropDown="1" showInputMessage="1" showErrorMessage="1" sqref="A10:D10" xr:uid="{00000000-0002-0000-0000-000000000000}"/>
    <dataValidation type="list" allowBlank="1" showInputMessage="1" showErrorMessage="1" sqref="L75" xr:uid="{00000000-0002-0000-0000-000001000000}">
      <formula1>$AF$80:$AF$91</formula1>
    </dataValidation>
  </dataValidations>
  <pageMargins left="0.7" right="0.7" top="0.75" bottom="0.75" header="0.3" footer="0.3"/>
  <pageSetup paperSize="9" scale="83" orientation="portrait" r:id="rId1"/>
  <colBreaks count="1" manualBreakCount="1">
    <brk id="3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45292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rp/Z7SJbQW2yr14nOyLGO5CsK0xrmld5WTg+5PndrWDkO4Isj9PnDiPLtQtiRdk1qs5dkBNs8pH0itbbrQWWHg==" saltValue="ni3x7Wnoi/y+inGQWD1Y1g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100-000000000000}">
      <formula1>$Q$2:$Q$4</formula1>
    </dataValidation>
    <dataValidation type="list" allowBlank="1" showInputMessage="1" showErrorMessage="1" sqref="C22" xr:uid="{00000000-0002-0000-0100-000001000000}">
      <formula1>$R$13:$S$13</formula1>
    </dataValidation>
  </dataValidations>
  <pageMargins left="0.7" right="0.7" top="0.75" bottom="0.75" header="0.3" footer="0.3"/>
  <pageSetup paperSize="9" scale="84" fitToHeight="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45292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ToKKN4f16JK9kVP/43AiUEDxbfRTuXrbyYa1umZ7QaM0McyfhfcyHR+lRPdR0Qh2UP2Bm9htqGF+PqfeNv/4Nw==" saltValue="kCUwlp8rGCIw2QLXc9jZ7A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200-000000000000}">
      <formula1>$Q$2:$Q$4</formula1>
    </dataValidation>
    <dataValidation type="list" allowBlank="1" showInputMessage="1" showErrorMessage="1" sqref="C22" xr:uid="{00000000-0002-0000-02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45292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6dTN4iLQrf1NqoXH61QLczSPUpfV+VM9EUEJpzjIbTJNkIHdKQIyHYXP+DqUyXwGUr4QIS/DmLVTDd9azwtSMQ==" saltValue="XvsMXhfRJsBEP1vetqzguA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300-000000000000}">
      <formula1>$Q$2:$Q$4</formula1>
    </dataValidation>
    <dataValidation type="list" allowBlank="1" showInputMessage="1" showErrorMessage="1" sqref="C22" xr:uid="{00000000-0002-0000-03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45292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jlyuuojgFAIkZnrsDuB3bUFJn3HnthlH2Pwkms7J2sxLtvEIhel4beE8QRrLpw34xMUxlqrYlKH6rPE8BOo4Xg==" saltValue="Qdxs1e5oAt3vfrOmH/iNjw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400-000000000000}">
      <formula1>$Q$2:$Q$4</formula1>
    </dataValidation>
    <dataValidation type="list" allowBlank="1" showInputMessage="1" showErrorMessage="1" sqref="C22" xr:uid="{00000000-0002-0000-04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45292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TMJ8S5gucDuBCvXZEh7tjQe3/mhAdjSq0rCEGcyvAgow8hUmsBVrwkLSJrBClSFQp/ZDCBUaCTZzpnv+gESuUQ==" saltValue="NHA5+sIGkbQrTlDGHw4RPA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500-000000000000}">
      <formula1>$Q$2:$Q$4</formula1>
    </dataValidation>
    <dataValidation type="list" allowBlank="1" showInputMessage="1" showErrorMessage="1" sqref="C22" xr:uid="{00000000-0002-0000-05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45292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0DQiU6i00OoJbWMb0v3uxRkieBnLlUHtt7FOEFwnjLSYTRXB0x2ZXSslGgloRRrnUSGKm5E0mzpb6kmwgjqTqg==" saltValue="WUmSq8sN6jzAi/eZbKh/sg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600-000000000000}">
      <formula1>$Q$2:$Q$4</formula1>
    </dataValidation>
    <dataValidation type="list" allowBlank="1" showInputMessage="1" showErrorMessage="1" sqref="C22" xr:uid="{00000000-0002-0000-06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45292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gxJ2gqaN/AYzetuJ0L5HHFJthbiSREXGJOqJnhIzbD+fPCN5pFDnx1mDmPIImyMNqDPFeVQMlB3ccYVidZKZPA==" saltValue="bEook0hf6AByt8pooRRkIg==" spinCount="100000" sheet="1" objects="1" scenarios="1"/>
  <phoneticPr fontId="2"/>
  <dataValidations count="1">
    <dataValidation type="list" allowBlank="1" showInputMessage="1" showErrorMessage="1" sqref="B18" xr:uid="{00000000-0002-0000-0700-000000000000}">
      <formula1>$Q$2:$Q$4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保険税試算シート</vt:lpstr>
      <vt:lpstr>加入者（1人目）</vt:lpstr>
      <vt:lpstr>加入者（2人目）</vt:lpstr>
      <vt:lpstr>加入者（3人目）</vt:lpstr>
      <vt:lpstr>加入者（4人目）</vt:lpstr>
      <vt:lpstr>加入者（5人目）</vt:lpstr>
      <vt:lpstr>加入者（6人目）</vt:lpstr>
      <vt:lpstr>世帯主</vt:lpstr>
      <vt:lpstr>'加入者（1人目）'!Print_Area</vt:lpstr>
      <vt:lpstr>'加入者（2人目）'!Print_Area</vt:lpstr>
      <vt:lpstr>'加入者（3人目）'!Print_Area</vt:lpstr>
      <vt:lpstr>'加入者（4人目）'!Print_Area</vt:lpstr>
      <vt:lpstr>'加入者（5人目）'!Print_Area</vt:lpstr>
      <vt:lpstr>'加入者（6人目）'!Print_Area</vt:lpstr>
      <vt:lpstr>世帯主!Print_Area</vt:lpstr>
      <vt:lpstr>保険税試算シート!Print_Area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2024-02-28T06:30:12Z</dcterms:modified>
</cp:coreProperties>
</file>